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 Seminarprogramm\01.01 Programmplanung\01.01.01 Jahresprogrammplanung\2025\PDF Jahresprogramm komplett\Termin-Fobi\"/>
    </mc:Choice>
  </mc:AlternateContent>
  <xr:revisionPtr revIDLastSave="0" documentId="13_ncr:1_{0E7D8847-99C0-4180-8EB7-0A91F970EC7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Neufassung" sheetId="2" r:id="rId1"/>
    <sheet name="Tabelle JP2025" sheetId="3" r:id="rId2"/>
  </sheets>
  <externalReferences>
    <externalReference r:id="rId3"/>
  </externalReferences>
  <definedNames>
    <definedName name="quelle">[1]Tabelle1!$A:$IV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9" i="2" l="1"/>
  <c r="E512" i="2"/>
  <c r="E1044" i="2"/>
  <c r="G1276" i="3"/>
  <c r="E1276" i="3"/>
  <c r="B1276" i="3"/>
  <c r="A1276" i="3"/>
  <c r="G1275" i="3"/>
  <c r="E1275" i="3"/>
  <c r="B1275" i="3"/>
  <c r="A1275" i="3"/>
  <c r="G1274" i="3"/>
  <c r="E1274" i="3"/>
  <c r="B1274" i="3"/>
  <c r="A1274" i="3"/>
  <c r="G1273" i="3"/>
  <c r="E1273" i="3"/>
  <c r="B1273" i="3"/>
  <c r="A1273" i="3"/>
  <c r="G1272" i="3"/>
  <c r="E1272" i="3"/>
  <c r="B1272" i="3"/>
  <c r="A1272" i="3"/>
  <c r="G1271" i="3"/>
  <c r="E1271" i="3"/>
  <c r="B1271" i="3"/>
  <c r="A1271" i="3"/>
  <c r="G1270" i="3"/>
  <c r="E1270" i="3"/>
  <c r="B1270" i="3"/>
  <c r="A1270" i="3"/>
  <c r="G1269" i="3"/>
  <c r="B1269" i="3"/>
  <c r="A1269" i="3"/>
  <c r="G1268" i="3"/>
  <c r="B1268" i="3"/>
  <c r="A1268" i="3"/>
  <c r="E1267" i="3"/>
  <c r="B1267" i="3"/>
  <c r="A1267" i="3"/>
  <c r="G1266" i="3"/>
  <c r="E1266" i="3"/>
  <c r="B1266" i="3"/>
  <c r="A1266" i="3"/>
  <c r="G1265" i="3"/>
  <c r="E1265" i="3"/>
  <c r="B1265" i="3"/>
  <c r="A1265" i="3"/>
  <c r="G1264" i="3"/>
  <c r="E1264" i="3"/>
  <c r="B1264" i="3"/>
  <c r="A1264" i="3"/>
  <c r="G1263" i="3"/>
  <c r="E1263" i="3"/>
  <c r="B1263" i="3"/>
  <c r="A1263" i="3"/>
  <c r="G1262" i="3"/>
  <c r="E1262" i="3"/>
  <c r="B1262" i="3"/>
  <c r="A1262" i="3"/>
  <c r="G1261" i="3"/>
  <c r="E1261" i="3"/>
  <c r="B1261" i="3"/>
  <c r="A1261" i="3"/>
  <c r="G1260" i="3"/>
  <c r="E1260" i="3"/>
  <c r="B1260" i="3"/>
  <c r="A1260" i="3"/>
  <c r="G1259" i="3"/>
  <c r="E1259" i="3"/>
  <c r="B1259" i="3"/>
  <c r="A1259" i="3"/>
  <c r="G1258" i="3"/>
  <c r="E1258" i="3"/>
  <c r="B1258" i="3"/>
  <c r="A1258" i="3"/>
  <c r="G1257" i="3"/>
  <c r="E1257" i="3"/>
  <c r="B1257" i="3"/>
  <c r="A1257" i="3"/>
  <c r="G1256" i="3"/>
  <c r="E1256" i="3"/>
  <c r="B1256" i="3"/>
  <c r="A1256" i="3"/>
  <c r="G1255" i="3"/>
  <c r="E1255" i="3"/>
  <c r="B1255" i="3"/>
  <c r="A1255" i="3"/>
  <c r="G1254" i="3"/>
  <c r="E1254" i="3"/>
  <c r="B1254" i="3"/>
  <c r="A1254" i="3"/>
  <c r="G1253" i="3"/>
  <c r="E1253" i="3"/>
  <c r="B1253" i="3"/>
  <c r="A1253" i="3"/>
  <c r="G1252" i="3"/>
  <c r="E1252" i="3"/>
  <c r="B1252" i="3"/>
  <c r="A1252" i="3"/>
  <c r="G1251" i="3"/>
  <c r="E1251" i="3"/>
  <c r="B1251" i="3"/>
  <c r="A1251" i="3"/>
  <c r="G1250" i="3"/>
  <c r="E1250" i="3"/>
  <c r="B1250" i="3"/>
  <c r="A1250" i="3"/>
  <c r="G1249" i="3"/>
  <c r="E1249" i="3"/>
  <c r="B1249" i="3"/>
  <c r="A1249" i="3"/>
  <c r="G1248" i="3"/>
  <c r="E1248" i="3"/>
  <c r="B1248" i="3"/>
  <c r="A1248" i="3"/>
  <c r="G1247" i="3"/>
  <c r="E1247" i="3"/>
  <c r="B1247" i="3"/>
  <c r="A1247" i="3"/>
  <c r="G1246" i="3"/>
  <c r="E1246" i="3"/>
  <c r="B1246" i="3"/>
  <c r="A1246" i="3"/>
  <c r="G1245" i="3"/>
  <c r="E1245" i="3"/>
  <c r="B1245" i="3"/>
  <c r="A1245" i="3"/>
  <c r="G1244" i="3"/>
  <c r="E1244" i="3"/>
  <c r="B1244" i="3"/>
  <c r="A1244" i="3"/>
  <c r="G1243" i="3"/>
  <c r="E1243" i="3"/>
  <c r="B1243" i="3"/>
  <c r="A1243" i="3"/>
  <c r="G1242" i="3"/>
  <c r="E1242" i="3"/>
  <c r="B1242" i="3"/>
  <c r="A1242" i="3"/>
  <c r="G1241" i="3"/>
  <c r="E1241" i="3"/>
  <c r="B1241" i="3"/>
  <c r="A1241" i="3"/>
  <c r="G1240" i="3"/>
  <c r="E1240" i="3"/>
  <c r="B1240" i="3"/>
  <c r="A1240" i="3"/>
  <c r="G1239" i="3"/>
  <c r="E1239" i="3"/>
  <c r="B1239" i="3"/>
  <c r="A1239" i="3"/>
  <c r="G1238" i="3"/>
  <c r="E1238" i="3"/>
  <c r="B1238" i="3"/>
  <c r="A1238" i="3"/>
  <c r="G1237" i="3"/>
  <c r="E1237" i="3"/>
  <c r="B1237" i="3"/>
  <c r="A1237" i="3"/>
  <c r="G1236" i="3"/>
  <c r="E1236" i="3"/>
  <c r="B1236" i="3"/>
  <c r="A1236" i="3"/>
  <c r="G1235" i="3"/>
  <c r="E1235" i="3"/>
  <c r="B1235" i="3"/>
  <c r="A1235" i="3"/>
  <c r="G1234" i="3"/>
  <c r="E1234" i="3"/>
  <c r="B1234" i="3"/>
  <c r="A1234" i="3"/>
  <c r="G1233" i="3"/>
  <c r="E1233" i="3"/>
  <c r="B1233" i="3"/>
  <c r="A1233" i="3"/>
  <c r="G1232" i="3"/>
  <c r="E1232" i="3"/>
  <c r="B1232" i="3"/>
  <c r="A1232" i="3"/>
  <c r="G1231" i="3"/>
  <c r="E1231" i="3"/>
  <c r="B1231" i="3"/>
  <c r="A1231" i="3"/>
  <c r="G1230" i="3"/>
  <c r="E1230" i="3"/>
  <c r="B1230" i="3"/>
  <c r="A1230" i="3"/>
  <c r="G1229" i="3"/>
  <c r="E1229" i="3"/>
  <c r="B1229" i="3"/>
  <c r="A1229" i="3"/>
  <c r="G1228" i="3"/>
  <c r="B1228" i="3"/>
  <c r="A1228" i="3"/>
  <c r="G1227" i="3"/>
  <c r="B1227" i="3"/>
  <c r="A1227" i="3"/>
  <c r="E1226" i="3"/>
  <c r="B1226" i="3"/>
  <c r="A1226" i="3"/>
  <c r="G1225" i="3"/>
  <c r="E1225" i="3"/>
  <c r="B1225" i="3"/>
  <c r="A1225" i="3"/>
  <c r="G1224" i="3"/>
  <c r="E1224" i="3"/>
  <c r="B1224" i="3"/>
  <c r="A1224" i="3"/>
  <c r="G1223" i="3"/>
  <c r="E1223" i="3"/>
  <c r="B1223" i="3"/>
  <c r="A1223" i="3"/>
  <c r="G1222" i="3"/>
  <c r="E1222" i="3"/>
  <c r="B1222" i="3"/>
  <c r="A1222" i="3"/>
  <c r="E1221" i="3"/>
  <c r="B1221" i="3"/>
  <c r="A1221" i="3"/>
  <c r="G1220" i="3"/>
  <c r="E1220" i="3"/>
  <c r="B1220" i="3"/>
  <c r="A1220" i="3"/>
  <c r="G1219" i="3"/>
  <c r="E1219" i="3"/>
  <c r="B1219" i="3"/>
  <c r="A1219" i="3"/>
  <c r="G1218" i="3"/>
  <c r="E1218" i="3"/>
  <c r="B1218" i="3"/>
  <c r="A1218" i="3"/>
  <c r="G1217" i="3"/>
  <c r="E1217" i="3"/>
  <c r="B1217" i="3"/>
  <c r="A1217" i="3"/>
  <c r="G1216" i="3"/>
  <c r="E1216" i="3"/>
  <c r="B1216" i="3"/>
  <c r="A1216" i="3"/>
  <c r="G1215" i="3"/>
  <c r="E1215" i="3"/>
  <c r="B1215" i="3"/>
  <c r="A1215" i="3"/>
  <c r="G1214" i="3"/>
  <c r="E1214" i="3"/>
  <c r="B1214" i="3"/>
  <c r="A1214" i="3"/>
  <c r="G1213" i="3"/>
  <c r="E1213" i="3"/>
  <c r="B1213" i="3"/>
  <c r="A1213" i="3"/>
  <c r="G1212" i="3"/>
  <c r="E1212" i="3"/>
  <c r="B1212" i="3"/>
  <c r="A1212" i="3"/>
  <c r="G1211" i="3"/>
  <c r="E1211" i="3"/>
  <c r="B1211" i="3"/>
  <c r="A1211" i="3"/>
  <c r="G1210" i="3"/>
  <c r="E1210" i="3"/>
  <c r="B1210" i="3"/>
  <c r="A1210" i="3"/>
  <c r="G1209" i="3"/>
  <c r="E1209" i="3"/>
  <c r="B1209" i="3"/>
  <c r="A1209" i="3"/>
  <c r="G1208" i="3"/>
  <c r="E1208" i="3"/>
  <c r="B1208" i="3"/>
  <c r="A1208" i="3"/>
  <c r="G1207" i="3"/>
  <c r="E1207" i="3"/>
  <c r="B1207" i="3"/>
  <c r="A1207" i="3"/>
  <c r="G1206" i="3"/>
  <c r="E1206" i="3"/>
  <c r="B1206" i="3"/>
  <c r="A1206" i="3"/>
  <c r="G1205" i="3"/>
  <c r="E1205" i="3"/>
  <c r="B1205" i="3"/>
  <c r="A1205" i="3"/>
  <c r="G1204" i="3"/>
  <c r="E1204" i="3"/>
  <c r="B1204" i="3"/>
  <c r="A1204" i="3"/>
  <c r="G1203" i="3"/>
  <c r="E1203" i="3"/>
  <c r="B1203" i="3"/>
  <c r="A1203" i="3"/>
  <c r="G1202" i="3"/>
  <c r="E1202" i="3"/>
  <c r="B1202" i="3"/>
  <c r="A1202" i="3"/>
  <c r="G1201" i="3"/>
  <c r="B1201" i="3"/>
  <c r="A1201" i="3"/>
  <c r="G1200" i="3"/>
  <c r="E1200" i="3"/>
  <c r="B1200" i="3"/>
  <c r="A1200" i="3"/>
  <c r="G1199" i="3"/>
  <c r="E1199" i="3"/>
  <c r="B1199" i="3"/>
  <c r="A1199" i="3"/>
  <c r="G1198" i="3"/>
  <c r="E1198" i="3"/>
  <c r="B1198" i="3"/>
  <c r="A1198" i="3"/>
  <c r="G1197" i="3"/>
  <c r="B1197" i="3"/>
  <c r="A1197" i="3"/>
  <c r="G1196" i="3"/>
  <c r="B1196" i="3"/>
  <c r="A1196" i="3"/>
  <c r="E1195" i="3"/>
  <c r="B1195" i="3"/>
  <c r="A1195" i="3"/>
  <c r="E1194" i="3"/>
  <c r="B1194" i="3"/>
  <c r="A1194" i="3"/>
  <c r="G1193" i="3"/>
  <c r="E1193" i="3"/>
  <c r="B1193" i="3"/>
  <c r="A1193" i="3"/>
  <c r="G1192" i="3"/>
  <c r="E1192" i="3"/>
  <c r="B1192" i="3"/>
  <c r="A1192" i="3"/>
  <c r="G1191" i="3"/>
  <c r="E1191" i="3"/>
  <c r="B1191" i="3"/>
  <c r="A1191" i="3"/>
  <c r="G1190" i="3"/>
  <c r="E1190" i="3"/>
  <c r="B1190" i="3"/>
  <c r="A1190" i="3"/>
  <c r="G1189" i="3"/>
  <c r="E1189" i="3"/>
  <c r="B1189" i="3"/>
  <c r="A1189" i="3"/>
  <c r="G1188" i="3"/>
  <c r="E1188" i="3"/>
  <c r="B1188" i="3"/>
  <c r="A1188" i="3"/>
  <c r="G1187" i="3"/>
  <c r="E1187" i="3"/>
  <c r="B1187" i="3"/>
  <c r="A1187" i="3"/>
  <c r="G1186" i="3"/>
  <c r="E1186" i="3"/>
  <c r="B1186" i="3"/>
  <c r="A1186" i="3"/>
  <c r="G1185" i="3"/>
  <c r="E1185" i="3"/>
  <c r="B1185" i="3"/>
  <c r="A1185" i="3"/>
  <c r="G1184" i="3"/>
  <c r="E1184" i="3"/>
  <c r="B1184" i="3"/>
  <c r="A1184" i="3"/>
  <c r="G1183" i="3"/>
  <c r="E1183" i="3"/>
  <c r="B1183" i="3"/>
  <c r="A1183" i="3"/>
  <c r="G1182" i="3"/>
  <c r="E1182" i="3"/>
  <c r="B1182" i="3"/>
  <c r="A1182" i="3"/>
  <c r="G1181" i="3"/>
  <c r="B1181" i="3"/>
  <c r="A1181" i="3"/>
  <c r="G1180" i="3"/>
  <c r="B1180" i="3"/>
  <c r="A1180" i="3"/>
  <c r="E1179" i="3"/>
  <c r="B1179" i="3"/>
  <c r="A1179" i="3"/>
  <c r="G1178" i="3"/>
  <c r="E1178" i="3"/>
  <c r="B1178" i="3"/>
  <c r="A1178" i="3"/>
  <c r="G1177" i="3"/>
  <c r="E1177" i="3"/>
  <c r="B1177" i="3"/>
  <c r="A1177" i="3"/>
  <c r="G1176" i="3"/>
  <c r="E1176" i="3"/>
  <c r="B1176" i="3"/>
  <c r="A1176" i="3"/>
  <c r="G1175" i="3"/>
  <c r="E1175" i="3"/>
  <c r="B1175" i="3"/>
  <c r="A1175" i="3"/>
  <c r="G1174" i="3"/>
  <c r="E1174" i="3"/>
  <c r="B1174" i="3"/>
  <c r="A1174" i="3"/>
  <c r="G1173" i="3"/>
  <c r="E1173" i="3"/>
  <c r="B1173" i="3"/>
  <c r="A1173" i="3"/>
  <c r="G1172" i="3"/>
  <c r="E1172" i="3"/>
  <c r="B1172" i="3"/>
  <c r="A1172" i="3"/>
  <c r="G1171" i="3"/>
  <c r="E1171" i="3"/>
  <c r="B1171" i="3"/>
  <c r="A1171" i="3"/>
  <c r="G1170" i="3"/>
  <c r="B1170" i="3"/>
  <c r="A1170" i="3"/>
  <c r="G1169" i="3"/>
  <c r="B1169" i="3"/>
  <c r="A1169" i="3"/>
  <c r="B1168" i="3"/>
  <c r="A1168" i="3"/>
  <c r="E1167" i="3"/>
  <c r="B1167" i="3"/>
  <c r="A1167" i="3"/>
  <c r="G1166" i="3"/>
  <c r="E1166" i="3"/>
  <c r="B1166" i="3"/>
  <c r="A1166" i="3"/>
  <c r="G1165" i="3"/>
  <c r="E1165" i="3"/>
  <c r="B1165" i="3"/>
  <c r="A1165" i="3"/>
  <c r="G1164" i="3"/>
  <c r="E1164" i="3"/>
  <c r="B1164" i="3"/>
  <c r="A1164" i="3"/>
  <c r="G1163" i="3"/>
  <c r="E1163" i="3"/>
  <c r="B1163" i="3"/>
  <c r="A1163" i="3"/>
  <c r="E1162" i="3"/>
  <c r="B1162" i="3"/>
  <c r="A1162" i="3"/>
  <c r="G1161" i="3"/>
  <c r="E1161" i="3"/>
  <c r="B1161" i="3"/>
  <c r="A1161" i="3"/>
  <c r="G1160" i="3"/>
  <c r="E1160" i="3"/>
  <c r="B1160" i="3"/>
  <c r="A1160" i="3"/>
  <c r="G1159" i="3"/>
  <c r="E1159" i="3"/>
  <c r="B1159" i="3"/>
  <c r="A1159" i="3"/>
  <c r="G1158" i="3"/>
  <c r="E1158" i="3"/>
  <c r="B1158" i="3"/>
  <c r="A1158" i="3"/>
  <c r="G1157" i="3"/>
  <c r="E1157" i="3"/>
  <c r="B1157" i="3"/>
  <c r="A1157" i="3"/>
  <c r="B1156" i="3"/>
  <c r="A1156" i="3"/>
  <c r="B1155" i="3"/>
  <c r="A1155" i="3"/>
  <c r="E1154" i="3"/>
  <c r="B1154" i="3"/>
  <c r="A1154" i="3"/>
  <c r="G1153" i="3"/>
  <c r="E1153" i="3"/>
  <c r="B1153" i="3"/>
  <c r="A1153" i="3"/>
  <c r="G1152" i="3"/>
  <c r="E1152" i="3"/>
  <c r="B1152" i="3"/>
  <c r="A1152" i="3"/>
  <c r="G1151" i="3"/>
  <c r="E1151" i="3"/>
  <c r="B1151" i="3"/>
  <c r="A1151" i="3"/>
  <c r="G1150" i="3"/>
  <c r="E1150" i="3"/>
  <c r="B1150" i="3"/>
  <c r="A1150" i="3"/>
  <c r="E1149" i="3"/>
  <c r="B1149" i="3"/>
  <c r="A1149" i="3"/>
  <c r="G1148" i="3"/>
  <c r="E1148" i="3"/>
  <c r="B1148" i="3"/>
  <c r="A1148" i="3"/>
  <c r="G1147" i="3"/>
  <c r="E1147" i="3"/>
  <c r="B1147" i="3"/>
  <c r="A1147" i="3"/>
  <c r="G1146" i="3"/>
  <c r="E1146" i="3"/>
  <c r="B1146" i="3"/>
  <c r="A1146" i="3"/>
  <c r="G1145" i="3"/>
  <c r="E1145" i="3"/>
  <c r="B1145" i="3"/>
  <c r="A1145" i="3"/>
  <c r="G1144" i="3"/>
  <c r="E1144" i="3"/>
  <c r="B1144" i="3"/>
  <c r="A1144" i="3"/>
  <c r="G1143" i="3"/>
  <c r="E1143" i="3"/>
  <c r="B1143" i="3"/>
  <c r="A1143" i="3"/>
  <c r="G1142" i="3"/>
  <c r="E1142" i="3"/>
  <c r="B1142" i="3"/>
  <c r="A1142" i="3"/>
  <c r="G1141" i="3"/>
  <c r="E1141" i="3"/>
  <c r="B1141" i="3"/>
  <c r="A1141" i="3"/>
  <c r="G1140" i="3"/>
  <c r="E1140" i="3"/>
  <c r="B1140" i="3"/>
  <c r="A1140" i="3"/>
  <c r="G1139" i="3"/>
  <c r="E1139" i="3"/>
  <c r="B1139" i="3"/>
  <c r="A1139" i="3"/>
  <c r="G1138" i="3"/>
  <c r="E1138" i="3"/>
  <c r="B1138" i="3"/>
  <c r="A1138" i="3"/>
  <c r="G1137" i="3"/>
  <c r="E1137" i="3"/>
  <c r="B1137" i="3"/>
  <c r="A1137" i="3"/>
  <c r="G1136" i="3"/>
  <c r="E1136" i="3"/>
  <c r="B1136" i="3"/>
  <c r="A1136" i="3"/>
  <c r="G1135" i="3"/>
  <c r="E1135" i="3"/>
  <c r="B1135" i="3"/>
  <c r="A1135" i="3"/>
  <c r="G1134" i="3"/>
  <c r="E1134" i="3"/>
  <c r="B1134" i="3"/>
  <c r="A1134" i="3"/>
  <c r="G1133" i="3"/>
  <c r="E1133" i="3"/>
  <c r="B1133" i="3"/>
  <c r="A1133" i="3"/>
  <c r="G1132" i="3"/>
  <c r="E1132" i="3"/>
  <c r="B1132" i="3"/>
  <c r="A1132" i="3"/>
  <c r="G1131" i="3"/>
  <c r="E1131" i="3"/>
  <c r="B1131" i="3"/>
  <c r="A1131" i="3"/>
  <c r="G1130" i="3"/>
  <c r="E1130" i="3"/>
  <c r="B1130" i="3"/>
  <c r="A1130" i="3"/>
  <c r="E1129" i="3"/>
  <c r="B1129" i="3"/>
  <c r="A1129" i="3"/>
  <c r="E1128" i="3"/>
  <c r="B1128" i="3"/>
  <c r="A1128" i="3"/>
  <c r="G1127" i="3"/>
  <c r="E1127" i="3"/>
  <c r="B1127" i="3"/>
  <c r="A1127" i="3"/>
  <c r="E1126" i="3"/>
  <c r="B1126" i="3"/>
  <c r="A1126" i="3"/>
  <c r="E1125" i="3"/>
  <c r="B1125" i="3"/>
  <c r="A1125" i="3"/>
  <c r="E1124" i="3"/>
  <c r="B1124" i="3"/>
  <c r="A1124" i="3"/>
  <c r="E1123" i="3"/>
  <c r="B1123" i="3"/>
  <c r="A1123" i="3"/>
  <c r="E1122" i="3"/>
  <c r="B1122" i="3"/>
  <c r="A1122" i="3"/>
  <c r="E1121" i="3"/>
  <c r="B1121" i="3"/>
  <c r="A1121" i="3"/>
  <c r="E1120" i="3"/>
  <c r="B1120" i="3"/>
  <c r="A1120" i="3"/>
  <c r="E1119" i="3"/>
  <c r="B1119" i="3"/>
  <c r="A1119" i="3"/>
  <c r="E1118" i="3"/>
  <c r="B1118" i="3"/>
  <c r="A1118" i="3"/>
  <c r="E1117" i="3"/>
  <c r="B1117" i="3"/>
  <c r="A1117" i="3"/>
  <c r="E1116" i="3"/>
  <c r="B1116" i="3"/>
  <c r="A1116" i="3"/>
  <c r="E1115" i="3"/>
  <c r="B1115" i="3"/>
  <c r="A1115" i="3"/>
  <c r="E1114" i="3"/>
  <c r="B1114" i="3"/>
  <c r="A1114" i="3"/>
  <c r="E1113" i="3"/>
  <c r="B1113" i="3"/>
  <c r="A1113" i="3"/>
  <c r="G1112" i="3"/>
  <c r="E1112" i="3"/>
  <c r="B1112" i="3"/>
  <c r="A1112" i="3"/>
  <c r="G1111" i="3"/>
  <c r="E1111" i="3"/>
  <c r="B1111" i="3"/>
  <c r="A1111" i="3"/>
  <c r="G1110" i="3"/>
  <c r="E1110" i="3"/>
  <c r="B1110" i="3"/>
  <c r="A1110" i="3"/>
  <c r="E1109" i="3"/>
  <c r="B1109" i="3"/>
  <c r="A1109" i="3"/>
  <c r="E1108" i="3"/>
  <c r="B1108" i="3"/>
  <c r="A1108" i="3"/>
  <c r="E1107" i="3"/>
  <c r="B1107" i="3"/>
  <c r="A1107" i="3"/>
  <c r="E1106" i="3"/>
  <c r="B1106" i="3"/>
  <c r="A1106" i="3"/>
  <c r="G1105" i="3"/>
  <c r="E1105" i="3"/>
  <c r="B1105" i="3"/>
  <c r="A1105" i="3"/>
  <c r="G1104" i="3"/>
  <c r="E1104" i="3"/>
  <c r="B1104" i="3"/>
  <c r="A1104" i="3"/>
  <c r="G1103" i="3"/>
  <c r="E1103" i="3"/>
  <c r="B1103" i="3"/>
  <c r="A1103" i="3"/>
  <c r="G1102" i="3"/>
  <c r="E1102" i="3"/>
  <c r="B1102" i="3"/>
  <c r="A1102" i="3"/>
  <c r="G1101" i="3"/>
  <c r="B1101" i="3"/>
  <c r="A1101" i="3"/>
  <c r="G1100" i="3"/>
  <c r="B1100" i="3"/>
  <c r="A1100" i="3"/>
  <c r="E1099" i="3"/>
  <c r="B1099" i="3"/>
  <c r="A1099" i="3"/>
  <c r="G1098" i="3"/>
  <c r="B1098" i="3"/>
  <c r="A1098" i="3"/>
  <c r="G1097" i="3"/>
  <c r="B1097" i="3"/>
  <c r="A1097" i="3"/>
  <c r="E1096" i="3"/>
  <c r="B1096" i="3"/>
  <c r="A1096" i="3"/>
  <c r="G1095" i="3"/>
  <c r="B1095" i="3"/>
  <c r="A1095" i="3"/>
  <c r="G1094" i="3"/>
  <c r="B1094" i="3"/>
  <c r="A1094" i="3"/>
  <c r="E1093" i="3"/>
  <c r="B1093" i="3"/>
  <c r="A1093" i="3"/>
  <c r="G1092" i="3"/>
  <c r="B1092" i="3"/>
  <c r="A1092" i="3"/>
  <c r="G1091" i="3"/>
  <c r="B1091" i="3"/>
  <c r="A1091" i="3"/>
  <c r="G1090" i="3"/>
  <c r="B1090" i="3"/>
  <c r="A1090" i="3"/>
  <c r="E1089" i="3"/>
  <c r="B1089" i="3"/>
  <c r="A1089" i="3"/>
  <c r="G1088" i="3"/>
  <c r="B1088" i="3"/>
  <c r="A1088" i="3"/>
  <c r="G1087" i="3"/>
  <c r="B1087" i="3"/>
  <c r="A1087" i="3"/>
  <c r="G1086" i="3"/>
  <c r="B1086" i="3"/>
  <c r="A1086" i="3"/>
  <c r="E1085" i="3"/>
  <c r="B1085" i="3"/>
  <c r="A1085" i="3"/>
  <c r="G1084" i="3"/>
  <c r="B1084" i="3"/>
  <c r="A1084" i="3"/>
  <c r="G1083" i="3"/>
  <c r="B1083" i="3"/>
  <c r="A1083" i="3"/>
  <c r="G1082" i="3"/>
  <c r="B1082" i="3"/>
  <c r="A1082" i="3"/>
  <c r="E1081" i="3"/>
  <c r="B1081" i="3"/>
  <c r="A1081" i="3"/>
  <c r="G1080" i="3"/>
  <c r="E1080" i="3"/>
  <c r="B1080" i="3"/>
  <c r="A1080" i="3"/>
  <c r="G1079" i="3"/>
  <c r="E1079" i="3"/>
  <c r="B1079" i="3"/>
  <c r="A1079" i="3"/>
  <c r="G1078" i="3"/>
  <c r="E1078" i="3"/>
  <c r="B1078" i="3"/>
  <c r="A1078" i="3"/>
  <c r="E1077" i="3"/>
  <c r="B1077" i="3"/>
  <c r="A1077" i="3"/>
  <c r="E1076" i="3"/>
  <c r="B1076" i="3"/>
  <c r="A1076" i="3"/>
  <c r="E1075" i="3"/>
  <c r="B1075" i="3"/>
  <c r="A1075" i="3"/>
  <c r="G1074" i="3"/>
  <c r="E1074" i="3"/>
  <c r="B1074" i="3"/>
  <c r="A1074" i="3"/>
  <c r="B1073" i="3"/>
  <c r="A1073" i="3"/>
  <c r="B1072" i="3"/>
  <c r="A1072" i="3"/>
  <c r="E1071" i="3"/>
  <c r="B1071" i="3"/>
  <c r="A1071" i="3"/>
  <c r="G1070" i="3"/>
  <c r="B1070" i="3"/>
  <c r="A1070" i="3"/>
  <c r="G1069" i="3"/>
  <c r="B1069" i="3"/>
  <c r="A1069" i="3"/>
  <c r="E1068" i="3"/>
  <c r="B1068" i="3"/>
  <c r="A1068" i="3"/>
  <c r="G1067" i="3"/>
  <c r="B1067" i="3"/>
  <c r="A1067" i="3"/>
  <c r="G1066" i="3"/>
  <c r="B1066" i="3"/>
  <c r="A1066" i="3"/>
  <c r="E1065" i="3"/>
  <c r="B1065" i="3"/>
  <c r="A1065" i="3"/>
  <c r="G1064" i="3"/>
  <c r="B1064" i="3"/>
  <c r="A1064" i="3"/>
  <c r="G1063" i="3"/>
  <c r="B1063" i="3"/>
  <c r="A1063" i="3"/>
  <c r="E1062" i="3"/>
  <c r="B1062" i="3"/>
  <c r="A1062" i="3"/>
  <c r="G1061" i="3"/>
  <c r="E1061" i="3"/>
  <c r="B1061" i="3"/>
  <c r="A1061" i="3"/>
  <c r="G1060" i="3"/>
  <c r="B1060" i="3"/>
  <c r="A1060" i="3"/>
  <c r="G1059" i="3"/>
  <c r="B1059" i="3"/>
  <c r="A1059" i="3"/>
  <c r="G1058" i="3"/>
  <c r="B1058" i="3"/>
  <c r="A1058" i="3"/>
  <c r="E1057" i="3"/>
  <c r="B1057" i="3"/>
  <c r="A1057" i="3"/>
  <c r="E1056" i="3"/>
  <c r="B1056" i="3"/>
  <c r="A1056" i="3"/>
  <c r="G1055" i="3"/>
  <c r="E1055" i="3"/>
  <c r="B1055" i="3"/>
  <c r="A1055" i="3"/>
  <c r="G1054" i="3"/>
  <c r="E1054" i="3"/>
  <c r="B1054" i="3"/>
  <c r="A1054" i="3"/>
  <c r="G1053" i="3"/>
  <c r="E1053" i="3"/>
  <c r="B1053" i="3"/>
  <c r="A1053" i="3"/>
  <c r="G1052" i="3"/>
  <c r="E1052" i="3"/>
  <c r="B1052" i="3"/>
  <c r="A1052" i="3"/>
  <c r="G1051" i="3"/>
  <c r="E1051" i="3"/>
  <c r="B1051" i="3"/>
  <c r="A1051" i="3"/>
  <c r="E1050" i="3"/>
  <c r="B1050" i="3"/>
  <c r="A1050" i="3"/>
  <c r="G1049" i="3"/>
  <c r="E1049" i="3"/>
  <c r="B1049" i="3"/>
  <c r="A1049" i="3"/>
  <c r="E1048" i="3"/>
  <c r="B1048" i="3"/>
  <c r="A1048" i="3"/>
  <c r="B1047" i="3"/>
  <c r="A1047" i="3"/>
  <c r="B1046" i="3"/>
  <c r="A1046" i="3"/>
  <c r="E1045" i="3"/>
  <c r="B1045" i="3"/>
  <c r="A1045" i="3"/>
  <c r="G1044" i="3"/>
  <c r="E1044" i="3"/>
  <c r="B1044" i="3"/>
  <c r="A1044" i="3"/>
  <c r="G1043" i="3"/>
  <c r="E1043" i="3"/>
  <c r="B1043" i="3"/>
  <c r="A1043" i="3"/>
  <c r="E1042" i="3"/>
  <c r="B1042" i="3"/>
  <c r="A1042" i="3"/>
  <c r="G1041" i="3"/>
  <c r="E1041" i="3"/>
  <c r="B1041" i="3"/>
  <c r="A1041" i="3"/>
  <c r="G1040" i="3"/>
  <c r="E1040" i="3"/>
  <c r="B1040" i="3"/>
  <c r="A1040" i="3"/>
  <c r="G1039" i="3"/>
  <c r="E1039" i="3"/>
  <c r="B1039" i="3"/>
  <c r="A1039" i="3"/>
  <c r="G1038" i="3"/>
  <c r="B1038" i="3"/>
  <c r="A1038" i="3"/>
  <c r="G1037" i="3"/>
  <c r="B1037" i="3"/>
  <c r="A1037" i="3"/>
  <c r="G1036" i="3"/>
  <c r="B1036" i="3"/>
  <c r="A1036" i="3"/>
  <c r="E1035" i="3"/>
  <c r="B1035" i="3"/>
  <c r="A1035" i="3"/>
  <c r="G1034" i="3"/>
  <c r="E1034" i="3"/>
  <c r="B1034" i="3"/>
  <c r="A1034" i="3"/>
  <c r="E1033" i="3"/>
  <c r="B1033" i="3"/>
  <c r="A1033" i="3"/>
  <c r="G1032" i="3"/>
  <c r="E1032" i="3"/>
  <c r="B1032" i="3"/>
  <c r="A1032" i="3"/>
  <c r="G1031" i="3"/>
  <c r="E1031" i="3"/>
  <c r="B1031" i="3"/>
  <c r="A1031" i="3"/>
  <c r="G1030" i="3"/>
  <c r="E1030" i="3"/>
  <c r="B1030" i="3"/>
  <c r="A1030" i="3"/>
  <c r="G1029" i="3"/>
  <c r="E1029" i="3"/>
  <c r="B1029" i="3"/>
  <c r="A1029" i="3"/>
  <c r="G1028" i="3"/>
  <c r="E1028" i="3"/>
  <c r="B1028" i="3"/>
  <c r="A1028" i="3"/>
  <c r="G1027" i="3"/>
  <c r="E1027" i="3"/>
  <c r="B1027" i="3"/>
  <c r="A1027" i="3"/>
  <c r="G1026" i="3"/>
  <c r="E1026" i="3"/>
  <c r="B1026" i="3"/>
  <c r="A1026" i="3"/>
  <c r="G1025" i="3"/>
  <c r="E1025" i="3"/>
  <c r="B1025" i="3"/>
  <c r="A1025" i="3"/>
  <c r="G1024" i="3"/>
  <c r="E1024" i="3"/>
  <c r="B1024" i="3"/>
  <c r="A1024" i="3"/>
  <c r="G1023" i="3"/>
  <c r="E1023" i="3"/>
  <c r="B1023" i="3"/>
  <c r="A1023" i="3"/>
  <c r="G1022" i="3"/>
  <c r="E1022" i="3"/>
  <c r="B1022" i="3"/>
  <c r="A1022" i="3"/>
  <c r="G1021" i="3"/>
  <c r="E1021" i="3"/>
  <c r="B1021" i="3"/>
  <c r="A1021" i="3"/>
  <c r="G1020" i="3"/>
  <c r="E1020" i="3"/>
  <c r="B1020" i="3"/>
  <c r="A1020" i="3"/>
  <c r="G1019" i="3"/>
  <c r="E1019" i="3"/>
  <c r="B1019" i="3"/>
  <c r="A1019" i="3"/>
  <c r="G1018" i="3"/>
  <c r="E1018" i="3"/>
  <c r="B1018" i="3"/>
  <c r="A1018" i="3"/>
  <c r="G1017" i="3"/>
  <c r="E1017" i="3"/>
  <c r="B1017" i="3"/>
  <c r="A1017" i="3"/>
  <c r="G1016" i="3"/>
  <c r="E1016" i="3"/>
  <c r="B1016" i="3"/>
  <c r="A1016" i="3"/>
  <c r="G1015" i="3"/>
  <c r="E1015" i="3"/>
  <c r="B1015" i="3"/>
  <c r="A1015" i="3"/>
  <c r="G1014" i="3"/>
  <c r="E1014" i="3"/>
  <c r="B1014" i="3"/>
  <c r="A1014" i="3"/>
  <c r="G1013" i="3"/>
  <c r="E1013" i="3"/>
  <c r="B1013" i="3"/>
  <c r="A1013" i="3"/>
  <c r="G1012" i="3"/>
  <c r="E1012" i="3"/>
  <c r="B1012" i="3"/>
  <c r="A1012" i="3"/>
  <c r="G1011" i="3"/>
  <c r="E1011" i="3"/>
  <c r="B1011" i="3"/>
  <c r="A1011" i="3"/>
  <c r="G1010" i="3"/>
  <c r="E1010" i="3"/>
  <c r="B1010" i="3"/>
  <c r="A1010" i="3"/>
  <c r="G1009" i="3"/>
  <c r="E1009" i="3"/>
  <c r="B1009" i="3"/>
  <c r="A1009" i="3"/>
  <c r="G1008" i="3"/>
  <c r="E1008" i="3"/>
  <c r="B1008" i="3"/>
  <c r="A1008" i="3"/>
  <c r="G1007" i="3"/>
  <c r="E1007" i="3"/>
  <c r="B1007" i="3"/>
  <c r="A1007" i="3"/>
  <c r="G1006" i="3"/>
  <c r="E1006" i="3"/>
  <c r="B1006" i="3"/>
  <c r="A1006" i="3"/>
  <c r="G1005" i="3"/>
  <c r="E1005" i="3"/>
  <c r="B1005" i="3"/>
  <c r="A1005" i="3"/>
  <c r="G1004" i="3"/>
  <c r="E1004" i="3"/>
  <c r="B1004" i="3"/>
  <c r="A1004" i="3"/>
  <c r="G1003" i="3"/>
  <c r="E1003" i="3"/>
  <c r="B1003" i="3"/>
  <c r="A1003" i="3"/>
  <c r="G1002" i="3"/>
  <c r="E1002" i="3"/>
  <c r="B1002" i="3"/>
  <c r="A1002" i="3"/>
  <c r="G1001" i="3"/>
  <c r="E1001" i="3"/>
  <c r="B1001" i="3"/>
  <c r="A1001" i="3"/>
  <c r="G1000" i="3"/>
  <c r="E1000" i="3"/>
  <c r="B1000" i="3"/>
  <c r="A1000" i="3"/>
  <c r="G999" i="3"/>
  <c r="E999" i="3"/>
  <c r="B999" i="3"/>
  <c r="A999" i="3"/>
  <c r="G998" i="3"/>
  <c r="E998" i="3"/>
  <c r="B998" i="3"/>
  <c r="A998" i="3"/>
  <c r="G997" i="3"/>
  <c r="E997" i="3"/>
  <c r="B997" i="3"/>
  <c r="A997" i="3"/>
  <c r="G996" i="3"/>
  <c r="E996" i="3"/>
  <c r="B996" i="3"/>
  <c r="A996" i="3"/>
  <c r="G995" i="3"/>
  <c r="E995" i="3"/>
  <c r="B995" i="3"/>
  <c r="A995" i="3"/>
  <c r="G994" i="3"/>
  <c r="E994" i="3"/>
  <c r="B994" i="3"/>
  <c r="A994" i="3"/>
  <c r="G993" i="3"/>
  <c r="E993" i="3"/>
  <c r="B993" i="3"/>
  <c r="A993" i="3"/>
  <c r="G992" i="3"/>
  <c r="E992" i="3"/>
  <c r="B992" i="3"/>
  <c r="A992" i="3"/>
  <c r="G991" i="3"/>
  <c r="E991" i="3"/>
  <c r="B991" i="3"/>
  <c r="A991" i="3"/>
  <c r="G990" i="3"/>
  <c r="E990" i="3"/>
  <c r="B990" i="3"/>
  <c r="A990" i="3"/>
  <c r="G989" i="3"/>
  <c r="E989" i="3"/>
  <c r="B989" i="3"/>
  <c r="A989" i="3"/>
  <c r="E988" i="3"/>
  <c r="B988" i="3"/>
  <c r="A988" i="3"/>
  <c r="E987" i="3"/>
  <c r="B987" i="3"/>
  <c r="A987" i="3"/>
  <c r="E986" i="3"/>
  <c r="B986" i="3"/>
  <c r="A986" i="3"/>
  <c r="E985" i="3"/>
  <c r="B985" i="3"/>
  <c r="A985" i="3"/>
  <c r="E984" i="3"/>
  <c r="B984" i="3"/>
  <c r="A984" i="3"/>
  <c r="G983" i="3"/>
  <c r="B983" i="3"/>
  <c r="A983" i="3"/>
  <c r="G982" i="3"/>
  <c r="B982" i="3"/>
  <c r="A982" i="3"/>
  <c r="E981" i="3"/>
  <c r="B981" i="3"/>
  <c r="A981" i="3"/>
  <c r="G980" i="3"/>
  <c r="B980" i="3"/>
  <c r="A980" i="3"/>
  <c r="G979" i="3"/>
  <c r="B979" i="3"/>
  <c r="A979" i="3"/>
  <c r="E978" i="3"/>
  <c r="B978" i="3"/>
  <c r="A978" i="3"/>
  <c r="G977" i="3"/>
  <c r="E977" i="3"/>
  <c r="B977" i="3"/>
  <c r="A977" i="3"/>
  <c r="G976" i="3"/>
  <c r="E976" i="3"/>
  <c r="B976" i="3"/>
  <c r="A976" i="3"/>
  <c r="G975" i="3"/>
  <c r="E975" i="3"/>
  <c r="B975" i="3"/>
  <c r="A975" i="3"/>
  <c r="G974" i="3"/>
  <c r="E974" i="3"/>
  <c r="B974" i="3"/>
  <c r="A974" i="3"/>
  <c r="G973" i="3"/>
  <c r="E973" i="3"/>
  <c r="B973" i="3"/>
  <c r="A973" i="3"/>
  <c r="G972" i="3"/>
  <c r="E972" i="3"/>
  <c r="B972" i="3"/>
  <c r="A972" i="3"/>
  <c r="G971" i="3"/>
  <c r="E971" i="3"/>
  <c r="B971" i="3"/>
  <c r="A971" i="3"/>
  <c r="G970" i="3"/>
  <c r="E970" i="3"/>
  <c r="B970" i="3"/>
  <c r="A970" i="3"/>
  <c r="G969" i="3"/>
  <c r="E969" i="3"/>
  <c r="B969" i="3"/>
  <c r="A969" i="3"/>
  <c r="G968" i="3"/>
  <c r="E968" i="3"/>
  <c r="B968" i="3"/>
  <c r="A968" i="3"/>
  <c r="G967" i="3"/>
  <c r="E967" i="3"/>
  <c r="B967" i="3"/>
  <c r="A967" i="3"/>
  <c r="G966" i="3"/>
  <c r="E966" i="3"/>
  <c r="B966" i="3"/>
  <c r="A966" i="3"/>
  <c r="G965" i="3"/>
  <c r="E965" i="3"/>
  <c r="B965" i="3"/>
  <c r="A965" i="3"/>
  <c r="G964" i="3"/>
  <c r="E964" i="3"/>
  <c r="B964" i="3"/>
  <c r="A964" i="3"/>
  <c r="G963" i="3"/>
  <c r="E963" i="3"/>
  <c r="B963" i="3"/>
  <c r="A963" i="3"/>
  <c r="G962" i="3"/>
  <c r="E962" i="3"/>
  <c r="B962" i="3"/>
  <c r="A962" i="3"/>
  <c r="G961" i="3"/>
  <c r="E961" i="3"/>
  <c r="B961" i="3"/>
  <c r="A961" i="3"/>
  <c r="G960" i="3"/>
  <c r="B960" i="3"/>
  <c r="A960" i="3"/>
  <c r="G959" i="3"/>
  <c r="B959" i="3"/>
  <c r="A959" i="3"/>
  <c r="G958" i="3"/>
  <c r="B958" i="3"/>
  <c r="A958" i="3"/>
  <c r="G957" i="3"/>
  <c r="B957" i="3"/>
  <c r="A957" i="3"/>
  <c r="G956" i="3"/>
  <c r="B956" i="3"/>
  <c r="A956" i="3"/>
  <c r="G955" i="3"/>
  <c r="B955" i="3"/>
  <c r="A955" i="3"/>
  <c r="G954" i="3"/>
  <c r="B954" i="3"/>
  <c r="A954" i="3"/>
  <c r="B953" i="3"/>
  <c r="A953" i="3"/>
  <c r="G952" i="3"/>
  <c r="B952" i="3"/>
  <c r="A952" i="3"/>
  <c r="G951" i="3"/>
  <c r="B951" i="3"/>
  <c r="A951" i="3"/>
  <c r="G950" i="3"/>
  <c r="B950" i="3"/>
  <c r="A950" i="3"/>
  <c r="G949" i="3"/>
  <c r="B949" i="3"/>
  <c r="A949" i="3"/>
  <c r="G948" i="3"/>
  <c r="B948" i="3"/>
  <c r="A948" i="3"/>
  <c r="G947" i="3"/>
  <c r="B947" i="3"/>
  <c r="A947" i="3"/>
  <c r="G946" i="3"/>
  <c r="B946" i="3"/>
  <c r="A946" i="3"/>
  <c r="B945" i="3"/>
  <c r="A945" i="3"/>
  <c r="G944" i="3"/>
  <c r="B944" i="3"/>
  <c r="A944" i="3"/>
  <c r="G943" i="3"/>
  <c r="B943" i="3"/>
  <c r="A943" i="3"/>
  <c r="G942" i="3"/>
  <c r="B942" i="3"/>
  <c r="A942" i="3"/>
  <c r="G941" i="3"/>
  <c r="B941" i="3"/>
  <c r="A941" i="3"/>
  <c r="B940" i="3"/>
  <c r="A940" i="3"/>
  <c r="G939" i="3"/>
  <c r="B939" i="3"/>
  <c r="A939" i="3"/>
  <c r="G938" i="3"/>
  <c r="B938" i="3"/>
  <c r="A938" i="3"/>
  <c r="G937" i="3"/>
  <c r="B937" i="3"/>
  <c r="A937" i="3"/>
  <c r="G936" i="3"/>
  <c r="B936" i="3"/>
  <c r="A936" i="3"/>
  <c r="B935" i="3"/>
  <c r="A935" i="3"/>
  <c r="E934" i="3"/>
  <c r="B934" i="3"/>
  <c r="A934" i="3"/>
  <c r="E933" i="3"/>
  <c r="B933" i="3"/>
  <c r="A933" i="3"/>
  <c r="G932" i="3"/>
  <c r="E932" i="3"/>
  <c r="B932" i="3"/>
  <c r="A932" i="3"/>
  <c r="G931" i="3"/>
  <c r="E931" i="3"/>
  <c r="B931" i="3"/>
  <c r="A931" i="3"/>
  <c r="G930" i="3"/>
  <c r="E930" i="3"/>
  <c r="B930" i="3"/>
  <c r="A930" i="3"/>
  <c r="G929" i="3"/>
  <c r="E929" i="3"/>
  <c r="B929" i="3"/>
  <c r="A929" i="3"/>
  <c r="G928" i="3"/>
  <c r="E928" i="3"/>
  <c r="B928" i="3"/>
  <c r="A928" i="3"/>
  <c r="E927" i="3"/>
  <c r="B927" i="3"/>
  <c r="A927" i="3"/>
  <c r="G926" i="3"/>
  <c r="E926" i="3"/>
  <c r="B926" i="3"/>
  <c r="A926" i="3"/>
  <c r="G925" i="3"/>
  <c r="E925" i="3"/>
  <c r="B925" i="3"/>
  <c r="A925" i="3"/>
  <c r="G924" i="3"/>
  <c r="E924" i="3"/>
  <c r="B924" i="3"/>
  <c r="A924" i="3"/>
  <c r="G923" i="3"/>
  <c r="E923" i="3"/>
  <c r="B923" i="3"/>
  <c r="A923" i="3"/>
  <c r="G922" i="3"/>
  <c r="E922" i="3"/>
  <c r="B922" i="3"/>
  <c r="A922" i="3"/>
  <c r="G921" i="3"/>
  <c r="E921" i="3"/>
  <c r="B921" i="3"/>
  <c r="A921" i="3"/>
  <c r="G920" i="3"/>
  <c r="E920" i="3"/>
  <c r="B920" i="3"/>
  <c r="A920" i="3"/>
  <c r="G919" i="3"/>
  <c r="E919" i="3"/>
  <c r="B919" i="3"/>
  <c r="A919" i="3"/>
  <c r="B918" i="3"/>
  <c r="A918" i="3"/>
  <c r="B917" i="3"/>
  <c r="A917" i="3"/>
  <c r="E916" i="3"/>
  <c r="B916" i="3"/>
  <c r="A916" i="3"/>
  <c r="G915" i="3"/>
  <c r="E915" i="3"/>
  <c r="B915" i="3"/>
  <c r="A915" i="3"/>
  <c r="E914" i="3"/>
  <c r="B914" i="3"/>
  <c r="A914" i="3"/>
  <c r="G913" i="3"/>
  <c r="E913" i="3"/>
  <c r="B913" i="3"/>
  <c r="A913" i="3"/>
  <c r="G912" i="3"/>
  <c r="E912" i="3"/>
  <c r="B912" i="3"/>
  <c r="A912" i="3"/>
  <c r="G911" i="3"/>
  <c r="E911" i="3"/>
  <c r="B911" i="3"/>
  <c r="A911" i="3"/>
  <c r="G910" i="3"/>
  <c r="E910" i="3"/>
  <c r="B910" i="3"/>
  <c r="A910" i="3"/>
  <c r="G909" i="3"/>
  <c r="E909" i="3"/>
  <c r="B909" i="3"/>
  <c r="A909" i="3"/>
  <c r="G908" i="3"/>
  <c r="E908" i="3"/>
  <c r="B908" i="3"/>
  <c r="A908" i="3"/>
  <c r="G907" i="3"/>
  <c r="E907" i="3"/>
  <c r="B907" i="3"/>
  <c r="A907" i="3"/>
  <c r="G906" i="3"/>
  <c r="E906" i="3"/>
  <c r="B906" i="3"/>
  <c r="A906" i="3"/>
  <c r="G905" i="3"/>
  <c r="E905" i="3"/>
  <c r="B905" i="3"/>
  <c r="A905" i="3"/>
  <c r="G904" i="3"/>
  <c r="E904" i="3"/>
  <c r="B904" i="3"/>
  <c r="A904" i="3"/>
  <c r="G903" i="3"/>
  <c r="E903" i="3"/>
  <c r="B903" i="3"/>
  <c r="A903" i="3"/>
  <c r="G902" i="3"/>
  <c r="E902" i="3"/>
  <c r="B902" i="3"/>
  <c r="A902" i="3"/>
  <c r="G901" i="3"/>
  <c r="E901" i="3"/>
  <c r="B901" i="3"/>
  <c r="A901" i="3"/>
  <c r="G900" i="3"/>
  <c r="E900" i="3"/>
  <c r="B900" i="3"/>
  <c r="A900" i="3"/>
  <c r="G899" i="3"/>
  <c r="E899" i="3"/>
  <c r="B899" i="3"/>
  <c r="A899" i="3"/>
  <c r="G898" i="3"/>
  <c r="E898" i="3"/>
  <c r="B898" i="3"/>
  <c r="A898" i="3"/>
  <c r="G897" i="3"/>
  <c r="E897" i="3"/>
  <c r="B897" i="3"/>
  <c r="A897" i="3"/>
  <c r="G896" i="3"/>
  <c r="E896" i="3"/>
  <c r="B896" i="3"/>
  <c r="A896" i="3"/>
  <c r="G895" i="3"/>
  <c r="B895" i="3"/>
  <c r="A895" i="3"/>
  <c r="G894" i="3"/>
  <c r="B894" i="3"/>
  <c r="A894" i="3"/>
  <c r="E893" i="3"/>
  <c r="B893" i="3"/>
  <c r="A893" i="3"/>
  <c r="G892" i="3"/>
  <c r="B892" i="3"/>
  <c r="A892" i="3"/>
  <c r="G891" i="3"/>
  <c r="B891" i="3"/>
  <c r="A891" i="3"/>
  <c r="E890" i="3"/>
  <c r="B890" i="3"/>
  <c r="A890" i="3"/>
  <c r="G889" i="3"/>
  <c r="B889" i="3"/>
  <c r="A889" i="3"/>
  <c r="G888" i="3"/>
  <c r="B888" i="3"/>
  <c r="A888" i="3"/>
  <c r="E887" i="3"/>
  <c r="B887" i="3"/>
  <c r="A887" i="3"/>
  <c r="G886" i="3"/>
  <c r="B886" i="3"/>
  <c r="A886" i="3"/>
  <c r="G885" i="3"/>
  <c r="B885" i="3"/>
  <c r="A885" i="3"/>
  <c r="E884" i="3"/>
  <c r="B884" i="3"/>
  <c r="A884" i="3"/>
  <c r="G883" i="3"/>
  <c r="E883" i="3"/>
  <c r="B883" i="3"/>
  <c r="A883" i="3"/>
  <c r="G882" i="3"/>
  <c r="E882" i="3"/>
  <c r="B882" i="3"/>
  <c r="A882" i="3"/>
  <c r="G881" i="3"/>
  <c r="E881" i="3"/>
  <c r="B881" i="3"/>
  <c r="A881" i="3"/>
  <c r="G880" i="3"/>
  <c r="E880" i="3"/>
  <c r="B880" i="3"/>
  <c r="A880" i="3"/>
  <c r="G879" i="3"/>
  <c r="E879" i="3"/>
  <c r="B879" i="3"/>
  <c r="A879" i="3"/>
  <c r="G878" i="3"/>
  <c r="E878" i="3"/>
  <c r="B878" i="3"/>
  <c r="A878" i="3"/>
  <c r="G877" i="3"/>
  <c r="E877" i="3"/>
  <c r="B877" i="3"/>
  <c r="A877" i="3"/>
  <c r="G876" i="3"/>
  <c r="E876" i="3"/>
  <c r="B876" i="3"/>
  <c r="A876" i="3"/>
  <c r="G875" i="3"/>
  <c r="E875" i="3"/>
  <c r="B875" i="3"/>
  <c r="A875" i="3"/>
  <c r="G874" i="3"/>
  <c r="E874" i="3"/>
  <c r="B874" i="3"/>
  <c r="A874" i="3"/>
  <c r="G873" i="3"/>
  <c r="E873" i="3"/>
  <c r="B873" i="3"/>
  <c r="A873" i="3"/>
  <c r="G872" i="3"/>
  <c r="E872" i="3"/>
  <c r="B872" i="3"/>
  <c r="A872" i="3"/>
  <c r="G871" i="3"/>
  <c r="E871" i="3"/>
  <c r="B871" i="3"/>
  <c r="A871" i="3"/>
  <c r="G870" i="3"/>
  <c r="E870" i="3"/>
  <c r="B870" i="3"/>
  <c r="A870" i="3"/>
  <c r="G869" i="3"/>
  <c r="E869" i="3"/>
  <c r="B869" i="3"/>
  <c r="A869" i="3"/>
  <c r="G868" i="3"/>
  <c r="E868" i="3"/>
  <c r="B868" i="3"/>
  <c r="A868" i="3"/>
  <c r="G867" i="3"/>
  <c r="E867" i="3"/>
  <c r="B867" i="3"/>
  <c r="A867" i="3"/>
  <c r="G866" i="3"/>
  <c r="E866" i="3"/>
  <c r="B866" i="3"/>
  <c r="A866" i="3"/>
  <c r="G865" i="3"/>
  <c r="E865" i="3"/>
  <c r="B865" i="3"/>
  <c r="A865" i="3"/>
  <c r="G864" i="3"/>
  <c r="E864" i="3"/>
  <c r="B864" i="3"/>
  <c r="A864" i="3"/>
  <c r="G863" i="3"/>
  <c r="E863" i="3"/>
  <c r="B863" i="3"/>
  <c r="A863" i="3"/>
  <c r="G862" i="3"/>
  <c r="E862" i="3"/>
  <c r="B862" i="3"/>
  <c r="A862" i="3"/>
  <c r="G861" i="3"/>
  <c r="E861" i="3"/>
  <c r="B861" i="3"/>
  <c r="A861" i="3"/>
  <c r="G860" i="3"/>
  <c r="E860" i="3"/>
  <c r="B860" i="3"/>
  <c r="A860" i="3"/>
  <c r="G859" i="3"/>
  <c r="E859" i="3"/>
  <c r="B859" i="3"/>
  <c r="A859" i="3"/>
  <c r="G858" i="3"/>
  <c r="E858" i="3"/>
  <c r="B858" i="3"/>
  <c r="A858" i="3"/>
  <c r="G857" i="3"/>
  <c r="E857" i="3"/>
  <c r="B857" i="3"/>
  <c r="A857" i="3"/>
  <c r="G856" i="3"/>
  <c r="E856" i="3"/>
  <c r="B856" i="3"/>
  <c r="A856" i="3"/>
  <c r="G855" i="3"/>
  <c r="E855" i="3"/>
  <c r="B855" i="3"/>
  <c r="A855" i="3"/>
  <c r="G854" i="3"/>
  <c r="E854" i="3"/>
  <c r="B854" i="3"/>
  <c r="A854" i="3"/>
  <c r="G853" i="3"/>
  <c r="E853" i="3"/>
  <c r="B853" i="3"/>
  <c r="A853" i="3"/>
  <c r="G852" i="3"/>
  <c r="E852" i="3"/>
  <c r="B852" i="3"/>
  <c r="A852" i="3"/>
  <c r="G851" i="3"/>
  <c r="E851" i="3"/>
  <c r="B851" i="3"/>
  <c r="A851" i="3"/>
  <c r="G850" i="3"/>
  <c r="E850" i="3"/>
  <c r="B850" i="3"/>
  <c r="A850" i="3"/>
  <c r="G849" i="3"/>
  <c r="E849" i="3"/>
  <c r="B849" i="3"/>
  <c r="A849" i="3"/>
  <c r="G848" i="3"/>
  <c r="E848" i="3"/>
  <c r="B848" i="3"/>
  <c r="A848" i="3"/>
  <c r="G847" i="3"/>
  <c r="B847" i="3"/>
  <c r="A847" i="3"/>
  <c r="G846" i="3"/>
  <c r="B846" i="3"/>
  <c r="A846" i="3"/>
  <c r="E845" i="3"/>
  <c r="B845" i="3"/>
  <c r="A845" i="3"/>
  <c r="G844" i="3"/>
  <c r="B844" i="3"/>
  <c r="A844" i="3"/>
  <c r="G843" i="3"/>
  <c r="B843" i="3"/>
  <c r="A843" i="3"/>
  <c r="E842" i="3"/>
  <c r="B842" i="3"/>
  <c r="A842" i="3"/>
  <c r="G841" i="3"/>
  <c r="B841" i="3"/>
  <c r="A841" i="3"/>
  <c r="G840" i="3"/>
  <c r="B840" i="3"/>
  <c r="A840" i="3"/>
  <c r="E839" i="3"/>
  <c r="B839" i="3"/>
  <c r="A839" i="3"/>
  <c r="G838" i="3"/>
  <c r="B838" i="3"/>
  <c r="A838" i="3"/>
  <c r="G837" i="3"/>
  <c r="B837" i="3"/>
  <c r="A837" i="3"/>
  <c r="E836" i="3"/>
  <c r="B836" i="3"/>
  <c r="A836" i="3"/>
  <c r="G835" i="3"/>
  <c r="B835" i="3"/>
  <c r="A835" i="3"/>
  <c r="G834" i="3"/>
  <c r="B834" i="3"/>
  <c r="A834" i="3"/>
  <c r="E833" i="3"/>
  <c r="B833" i="3"/>
  <c r="A833" i="3"/>
  <c r="G832" i="3"/>
  <c r="B832" i="3"/>
  <c r="A832" i="3"/>
  <c r="G831" i="3"/>
  <c r="B831" i="3"/>
  <c r="A831" i="3"/>
  <c r="E830" i="3"/>
  <c r="B830" i="3"/>
  <c r="A830" i="3"/>
  <c r="G829" i="3"/>
  <c r="B829" i="3"/>
  <c r="A829" i="3"/>
  <c r="G828" i="3"/>
  <c r="B828" i="3"/>
  <c r="A828" i="3"/>
  <c r="E827" i="3"/>
  <c r="B827" i="3"/>
  <c r="A827" i="3"/>
  <c r="G826" i="3"/>
  <c r="B826" i="3"/>
  <c r="A826" i="3"/>
  <c r="G825" i="3"/>
  <c r="B825" i="3"/>
  <c r="A825" i="3"/>
  <c r="E824" i="3"/>
  <c r="B824" i="3"/>
  <c r="A824" i="3"/>
  <c r="G823" i="3"/>
  <c r="B823" i="3"/>
  <c r="A823" i="3"/>
  <c r="G822" i="3"/>
  <c r="B822" i="3"/>
  <c r="A822" i="3"/>
  <c r="E821" i="3"/>
  <c r="B821" i="3"/>
  <c r="A821" i="3"/>
  <c r="G820" i="3"/>
  <c r="B820" i="3"/>
  <c r="A820" i="3"/>
  <c r="G819" i="3"/>
  <c r="B819" i="3"/>
  <c r="A819" i="3"/>
  <c r="E818" i="3"/>
  <c r="B818" i="3"/>
  <c r="A818" i="3"/>
  <c r="G817" i="3"/>
  <c r="E817" i="3"/>
  <c r="B817" i="3"/>
  <c r="A817" i="3"/>
  <c r="G816" i="3"/>
  <c r="E816" i="3"/>
  <c r="B816" i="3"/>
  <c r="A816" i="3"/>
  <c r="G815" i="3"/>
  <c r="E815" i="3"/>
  <c r="B815" i="3"/>
  <c r="A815" i="3"/>
  <c r="E814" i="3"/>
  <c r="B814" i="3"/>
  <c r="A814" i="3"/>
  <c r="G813" i="3"/>
  <c r="E813" i="3"/>
  <c r="B813" i="3"/>
  <c r="A813" i="3"/>
  <c r="G812" i="3"/>
  <c r="E812" i="3"/>
  <c r="B812" i="3"/>
  <c r="A812" i="3"/>
  <c r="G811" i="3"/>
  <c r="E811" i="3"/>
  <c r="B811" i="3"/>
  <c r="A811" i="3"/>
  <c r="G810" i="3"/>
  <c r="E810" i="3"/>
  <c r="B810" i="3"/>
  <c r="A810" i="3"/>
  <c r="G809" i="3"/>
  <c r="E809" i="3"/>
  <c r="B809" i="3"/>
  <c r="A809" i="3"/>
  <c r="G808" i="3"/>
  <c r="E808" i="3"/>
  <c r="B808" i="3"/>
  <c r="A808" i="3"/>
  <c r="G807" i="3"/>
  <c r="E807" i="3"/>
  <c r="B807" i="3"/>
  <c r="A807" i="3"/>
  <c r="G806" i="3"/>
  <c r="E806" i="3"/>
  <c r="B806" i="3"/>
  <c r="A806" i="3"/>
  <c r="G805" i="3"/>
  <c r="E805" i="3"/>
  <c r="B805" i="3"/>
  <c r="A805" i="3"/>
  <c r="G804" i="3"/>
  <c r="E804" i="3"/>
  <c r="B804" i="3"/>
  <c r="A804" i="3"/>
  <c r="G803" i="3"/>
  <c r="E803" i="3"/>
  <c r="B803" i="3"/>
  <c r="A803" i="3"/>
  <c r="G802" i="3"/>
  <c r="E802" i="3"/>
  <c r="B802" i="3"/>
  <c r="A802" i="3"/>
  <c r="G801" i="3"/>
  <c r="E801" i="3"/>
  <c r="B801" i="3"/>
  <c r="A801" i="3"/>
  <c r="G800" i="3"/>
  <c r="E800" i="3"/>
  <c r="B800" i="3"/>
  <c r="A800" i="3"/>
  <c r="G799" i="3"/>
  <c r="E799" i="3"/>
  <c r="B799" i="3"/>
  <c r="A799" i="3"/>
  <c r="G798" i="3"/>
  <c r="E798" i="3"/>
  <c r="B798" i="3"/>
  <c r="A798" i="3"/>
  <c r="G797" i="3"/>
  <c r="E797" i="3"/>
  <c r="B797" i="3"/>
  <c r="A797" i="3"/>
  <c r="G796" i="3"/>
  <c r="E796" i="3"/>
  <c r="B796" i="3"/>
  <c r="A796" i="3"/>
  <c r="G795" i="3"/>
  <c r="E795" i="3"/>
  <c r="B795" i="3"/>
  <c r="A795" i="3"/>
  <c r="G794" i="3"/>
  <c r="E794" i="3"/>
  <c r="B794" i="3"/>
  <c r="A794" i="3"/>
  <c r="G793" i="3"/>
  <c r="E793" i="3"/>
  <c r="B793" i="3"/>
  <c r="A793" i="3"/>
  <c r="G792" i="3"/>
  <c r="E792" i="3"/>
  <c r="B792" i="3"/>
  <c r="A792" i="3"/>
  <c r="G791" i="3"/>
  <c r="E791" i="3"/>
  <c r="B791" i="3"/>
  <c r="A791" i="3"/>
  <c r="G790" i="3"/>
  <c r="E790" i="3"/>
  <c r="B790" i="3"/>
  <c r="A790" i="3"/>
  <c r="G789" i="3"/>
  <c r="E789" i="3"/>
  <c r="B789" i="3"/>
  <c r="A789" i="3"/>
  <c r="G788" i="3"/>
  <c r="E788" i="3"/>
  <c r="B788" i="3"/>
  <c r="A788" i="3"/>
  <c r="G787" i="3"/>
  <c r="E787" i="3"/>
  <c r="B787" i="3"/>
  <c r="A787" i="3"/>
  <c r="G786" i="3"/>
  <c r="E786" i="3"/>
  <c r="B786" i="3"/>
  <c r="A786" i="3"/>
  <c r="G785" i="3"/>
  <c r="E785" i="3"/>
  <c r="B785" i="3"/>
  <c r="A785" i="3"/>
  <c r="G784" i="3"/>
  <c r="E784" i="3"/>
  <c r="B784" i="3"/>
  <c r="A784" i="3"/>
  <c r="G783" i="3"/>
  <c r="E783" i="3"/>
  <c r="B783" i="3"/>
  <c r="A783" i="3"/>
  <c r="G782" i="3"/>
  <c r="E782" i="3"/>
  <c r="B782" i="3"/>
  <c r="A782" i="3"/>
  <c r="G781" i="3"/>
  <c r="E781" i="3"/>
  <c r="B781" i="3"/>
  <c r="A781" i="3"/>
  <c r="G780" i="3"/>
  <c r="E780" i="3"/>
  <c r="B780" i="3"/>
  <c r="A780" i="3"/>
  <c r="G779" i="3"/>
  <c r="E779" i="3"/>
  <c r="B779" i="3"/>
  <c r="A779" i="3"/>
  <c r="G778" i="3"/>
  <c r="E778" i="3"/>
  <c r="B778" i="3"/>
  <c r="A778" i="3"/>
  <c r="G777" i="3"/>
  <c r="E777" i="3"/>
  <c r="B777" i="3"/>
  <c r="A777" i="3"/>
  <c r="G776" i="3"/>
  <c r="E776" i="3"/>
  <c r="B776" i="3"/>
  <c r="A776" i="3"/>
  <c r="G775" i="3"/>
  <c r="E775" i="3"/>
  <c r="B775" i="3"/>
  <c r="A775" i="3"/>
  <c r="G774" i="3"/>
  <c r="E774" i="3"/>
  <c r="B774" i="3"/>
  <c r="A774" i="3"/>
  <c r="G773" i="3"/>
  <c r="E773" i="3"/>
  <c r="B773" i="3"/>
  <c r="A773" i="3"/>
  <c r="G772" i="3"/>
  <c r="E772" i="3"/>
  <c r="B772" i="3"/>
  <c r="A772" i="3"/>
  <c r="G771" i="3"/>
  <c r="E771" i="3"/>
  <c r="B771" i="3"/>
  <c r="A771" i="3"/>
  <c r="G770" i="3"/>
  <c r="E770" i="3"/>
  <c r="B770" i="3"/>
  <c r="A770" i="3"/>
  <c r="G769" i="3"/>
  <c r="E769" i="3"/>
  <c r="B769" i="3"/>
  <c r="A769" i="3"/>
  <c r="G768" i="3"/>
  <c r="E768" i="3"/>
  <c r="B768" i="3"/>
  <c r="A768" i="3"/>
  <c r="G767" i="3"/>
  <c r="E767" i="3"/>
  <c r="B767" i="3"/>
  <c r="A767" i="3"/>
  <c r="G766" i="3"/>
  <c r="E766" i="3"/>
  <c r="B766" i="3"/>
  <c r="A766" i="3"/>
  <c r="G765" i="3"/>
  <c r="E765" i="3"/>
  <c r="B765" i="3"/>
  <c r="A765" i="3"/>
  <c r="G764" i="3"/>
  <c r="E764" i="3"/>
  <c r="B764" i="3"/>
  <c r="A764" i="3"/>
  <c r="G763" i="3"/>
  <c r="E763" i="3"/>
  <c r="B763" i="3"/>
  <c r="A763" i="3"/>
  <c r="G762" i="3"/>
  <c r="E762" i="3"/>
  <c r="B762" i="3"/>
  <c r="A762" i="3"/>
  <c r="G761" i="3"/>
  <c r="E761" i="3"/>
  <c r="B761" i="3"/>
  <c r="A761" i="3"/>
  <c r="G760" i="3"/>
  <c r="E760" i="3"/>
  <c r="B760" i="3"/>
  <c r="A760" i="3"/>
  <c r="G759" i="3"/>
  <c r="E759" i="3"/>
  <c r="B759" i="3"/>
  <c r="A759" i="3"/>
  <c r="G758" i="3"/>
  <c r="E758" i="3"/>
  <c r="B758" i="3"/>
  <c r="A758" i="3"/>
  <c r="G757" i="3"/>
  <c r="E757" i="3"/>
  <c r="B757" i="3"/>
  <c r="A757" i="3"/>
  <c r="G756" i="3"/>
  <c r="E756" i="3"/>
  <c r="B756" i="3"/>
  <c r="A756" i="3"/>
  <c r="G755" i="3"/>
  <c r="E755" i="3"/>
  <c r="B755" i="3"/>
  <c r="A755" i="3"/>
  <c r="G754" i="3"/>
  <c r="E754" i="3"/>
  <c r="B754" i="3"/>
  <c r="A754" i="3"/>
  <c r="G753" i="3"/>
  <c r="E753" i="3"/>
  <c r="B753" i="3"/>
  <c r="A753" i="3"/>
  <c r="G752" i="3"/>
  <c r="E752" i="3"/>
  <c r="B752" i="3"/>
  <c r="A752" i="3"/>
  <c r="G751" i="3"/>
  <c r="E751" i="3"/>
  <c r="B751" i="3"/>
  <c r="A751" i="3"/>
  <c r="G750" i="3"/>
  <c r="E750" i="3"/>
  <c r="B750" i="3"/>
  <c r="A750" i="3"/>
  <c r="G749" i="3"/>
  <c r="E749" i="3"/>
  <c r="B749" i="3"/>
  <c r="A749" i="3"/>
  <c r="G748" i="3"/>
  <c r="E748" i="3"/>
  <c r="B748" i="3"/>
  <c r="A748" i="3"/>
  <c r="G747" i="3"/>
  <c r="E747" i="3"/>
  <c r="B747" i="3"/>
  <c r="A747" i="3"/>
  <c r="G746" i="3"/>
  <c r="E746" i="3"/>
  <c r="B746" i="3"/>
  <c r="A746" i="3"/>
  <c r="G745" i="3"/>
  <c r="B745" i="3"/>
  <c r="A745" i="3"/>
  <c r="G744" i="3"/>
  <c r="B744" i="3"/>
  <c r="A744" i="3"/>
  <c r="E743" i="3"/>
  <c r="B743" i="3"/>
  <c r="A743" i="3"/>
  <c r="G742" i="3"/>
  <c r="E742" i="3"/>
  <c r="B742" i="3"/>
  <c r="A742" i="3"/>
  <c r="G741" i="3"/>
  <c r="E741" i="3"/>
  <c r="B741" i="3"/>
  <c r="A741" i="3"/>
  <c r="G740" i="3"/>
  <c r="E740" i="3"/>
  <c r="B740" i="3"/>
  <c r="A740" i="3"/>
  <c r="G739" i="3"/>
  <c r="E739" i="3"/>
  <c r="B739" i="3"/>
  <c r="A739" i="3"/>
  <c r="G738" i="3"/>
  <c r="E738" i="3"/>
  <c r="B738" i="3"/>
  <c r="A738" i="3"/>
  <c r="G737" i="3"/>
  <c r="E737" i="3"/>
  <c r="B737" i="3"/>
  <c r="A737" i="3"/>
  <c r="G736" i="3"/>
  <c r="E736" i="3"/>
  <c r="B736" i="3"/>
  <c r="A736" i="3"/>
  <c r="G735" i="3"/>
  <c r="B735" i="3"/>
  <c r="A735" i="3"/>
  <c r="G734" i="3"/>
  <c r="B734" i="3"/>
  <c r="A734" i="3"/>
  <c r="E733" i="3"/>
  <c r="B733" i="3"/>
  <c r="A733" i="3"/>
  <c r="G732" i="3"/>
  <c r="B732" i="3"/>
  <c r="A732" i="3"/>
  <c r="G731" i="3"/>
  <c r="B731" i="3"/>
  <c r="A731" i="3"/>
  <c r="E730" i="3"/>
  <c r="B730" i="3"/>
  <c r="A730" i="3"/>
  <c r="G729" i="3"/>
  <c r="B729" i="3"/>
  <c r="A729" i="3"/>
  <c r="G728" i="3"/>
  <c r="B728" i="3"/>
  <c r="A728" i="3"/>
  <c r="E727" i="3"/>
  <c r="B727" i="3"/>
  <c r="A727" i="3"/>
  <c r="G726" i="3"/>
  <c r="B726" i="3"/>
  <c r="A726" i="3"/>
  <c r="G725" i="3"/>
  <c r="B725" i="3"/>
  <c r="A725" i="3"/>
  <c r="E724" i="3"/>
  <c r="B724" i="3"/>
  <c r="A724" i="3"/>
  <c r="G723" i="3"/>
  <c r="E723" i="3"/>
  <c r="B723" i="3"/>
  <c r="A723" i="3"/>
  <c r="G722" i="3"/>
  <c r="E722" i="3"/>
  <c r="B722" i="3"/>
  <c r="A722" i="3"/>
  <c r="G721" i="3"/>
  <c r="E721" i="3"/>
  <c r="B721" i="3"/>
  <c r="A721" i="3"/>
  <c r="G720" i="3"/>
  <c r="E720" i="3"/>
  <c r="B720" i="3"/>
  <c r="A720" i="3"/>
  <c r="G719" i="3"/>
  <c r="E719" i="3"/>
  <c r="B719" i="3"/>
  <c r="A719" i="3"/>
  <c r="G718" i="3"/>
  <c r="E718" i="3"/>
  <c r="B718" i="3"/>
  <c r="A718" i="3"/>
  <c r="G717" i="3"/>
  <c r="E717" i="3"/>
  <c r="B717" i="3"/>
  <c r="A717" i="3"/>
  <c r="G716" i="3"/>
  <c r="E716" i="3"/>
  <c r="B716" i="3"/>
  <c r="A716" i="3"/>
  <c r="G715" i="3"/>
  <c r="E715" i="3"/>
  <c r="B715" i="3"/>
  <c r="A715" i="3"/>
  <c r="G714" i="3"/>
  <c r="E714" i="3"/>
  <c r="B714" i="3"/>
  <c r="A714" i="3"/>
  <c r="G713" i="3"/>
  <c r="E713" i="3"/>
  <c r="B713" i="3"/>
  <c r="A713" i="3"/>
  <c r="G712" i="3"/>
  <c r="E712" i="3"/>
  <c r="B712" i="3"/>
  <c r="A712" i="3"/>
  <c r="G711" i="3"/>
  <c r="E711" i="3"/>
  <c r="B711" i="3"/>
  <c r="A711" i="3"/>
  <c r="G710" i="3"/>
  <c r="E710" i="3"/>
  <c r="B710" i="3"/>
  <c r="A710" i="3"/>
  <c r="G709" i="3"/>
  <c r="B709" i="3"/>
  <c r="A709" i="3"/>
  <c r="G708" i="3"/>
  <c r="B708" i="3"/>
  <c r="A708" i="3"/>
  <c r="E707" i="3"/>
  <c r="B707" i="3"/>
  <c r="A707" i="3"/>
  <c r="G706" i="3"/>
  <c r="B706" i="3"/>
  <c r="A706" i="3"/>
  <c r="G705" i="3"/>
  <c r="B705" i="3"/>
  <c r="A705" i="3"/>
  <c r="E704" i="3"/>
  <c r="B704" i="3"/>
  <c r="A704" i="3"/>
  <c r="G703" i="3"/>
  <c r="B703" i="3"/>
  <c r="A703" i="3"/>
  <c r="G702" i="3"/>
  <c r="B702" i="3"/>
  <c r="A702" i="3"/>
  <c r="E701" i="3"/>
  <c r="B701" i="3"/>
  <c r="A701" i="3"/>
  <c r="G700" i="3"/>
  <c r="B700" i="3"/>
  <c r="A700" i="3"/>
  <c r="G699" i="3"/>
  <c r="B699" i="3"/>
  <c r="A699" i="3"/>
  <c r="E698" i="3"/>
  <c r="B698" i="3"/>
  <c r="A698" i="3"/>
  <c r="G697" i="3"/>
  <c r="B697" i="3"/>
  <c r="A697" i="3"/>
  <c r="G696" i="3"/>
  <c r="B696" i="3"/>
  <c r="A696" i="3"/>
  <c r="E695" i="3"/>
  <c r="B695" i="3"/>
  <c r="A695" i="3"/>
  <c r="G694" i="3"/>
  <c r="B694" i="3"/>
  <c r="A694" i="3"/>
  <c r="G693" i="3"/>
  <c r="B693" i="3"/>
  <c r="A693" i="3"/>
  <c r="E692" i="3"/>
  <c r="B692" i="3"/>
  <c r="A692" i="3"/>
  <c r="G691" i="3"/>
  <c r="B691" i="3"/>
  <c r="A691" i="3"/>
  <c r="G690" i="3"/>
  <c r="B690" i="3"/>
  <c r="A690" i="3"/>
  <c r="E689" i="3"/>
  <c r="B689" i="3"/>
  <c r="A689" i="3"/>
  <c r="G688" i="3"/>
  <c r="B688" i="3"/>
  <c r="A688" i="3"/>
  <c r="G687" i="3"/>
  <c r="B687" i="3"/>
  <c r="A687" i="3"/>
  <c r="E686" i="3"/>
  <c r="B686" i="3"/>
  <c r="A686" i="3"/>
  <c r="G685" i="3"/>
  <c r="E685" i="3"/>
  <c r="B685" i="3"/>
  <c r="A685" i="3"/>
  <c r="G684" i="3"/>
  <c r="E684" i="3"/>
  <c r="B684" i="3"/>
  <c r="A684" i="3"/>
  <c r="G683" i="3"/>
  <c r="E683" i="3"/>
  <c r="B683" i="3"/>
  <c r="A683" i="3"/>
  <c r="G682" i="3"/>
  <c r="E682" i="3"/>
  <c r="B682" i="3"/>
  <c r="A682" i="3"/>
  <c r="G681" i="3"/>
  <c r="E681" i="3"/>
  <c r="B681" i="3"/>
  <c r="A681" i="3"/>
  <c r="G680" i="3"/>
  <c r="E680" i="3"/>
  <c r="B680" i="3"/>
  <c r="A680" i="3"/>
  <c r="G679" i="3"/>
  <c r="E679" i="3"/>
  <c r="B679" i="3"/>
  <c r="A679" i="3"/>
  <c r="G678" i="3"/>
  <c r="E678" i="3"/>
  <c r="B678" i="3"/>
  <c r="A678" i="3"/>
  <c r="G677" i="3"/>
  <c r="E677" i="3"/>
  <c r="B677" i="3"/>
  <c r="A677" i="3"/>
  <c r="G676" i="3"/>
  <c r="E676" i="3"/>
  <c r="B676" i="3"/>
  <c r="A676" i="3"/>
  <c r="G675" i="3"/>
  <c r="E675" i="3"/>
  <c r="B675" i="3"/>
  <c r="A675" i="3"/>
  <c r="G674" i="3"/>
  <c r="E674" i="3"/>
  <c r="B674" i="3"/>
  <c r="A674" i="3"/>
  <c r="G673" i="3"/>
  <c r="E673" i="3"/>
  <c r="B673" i="3"/>
  <c r="A673" i="3"/>
  <c r="G672" i="3"/>
  <c r="E672" i="3"/>
  <c r="B672" i="3"/>
  <c r="A672" i="3"/>
  <c r="G671" i="3"/>
  <c r="E671" i="3"/>
  <c r="B671" i="3"/>
  <c r="A671" i="3"/>
  <c r="G670" i="3"/>
  <c r="E670" i="3"/>
  <c r="B670" i="3"/>
  <c r="A670" i="3"/>
  <c r="G669" i="3"/>
  <c r="B669" i="3"/>
  <c r="A669" i="3"/>
  <c r="G668" i="3"/>
  <c r="E668" i="3"/>
  <c r="B668" i="3"/>
  <c r="A668" i="3"/>
  <c r="G667" i="3"/>
  <c r="E667" i="3"/>
  <c r="B667" i="3"/>
  <c r="A667" i="3"/>
  <c r="G666" i="3"/>
  <c r="E666" i="3"/>
  <c r="B666" i="3"/>
  <c r="A666" i="3"/>
  <c r="G665" i="3"/>
  <c r="E665" i="3"/>
  <c r="B665" i="3"/>
  <c r="A665" i="3"/>
  <c r="G664" i="3"/>
  <c r="E664" i="3"/>
  <c r="B664" i="3"/>
  <c r="A664" i="3"/>
  <c r="G663" i="3"/>
  <c r="E663" i="3"/>
  <c r="B663" i="3"/>
  <c r="A663" i="3"/>
  <c r="G662" i="3"/>
  <c r="E662" i="3"/>
  <c r="B662" i="3"/>
  <c r="A662" i="3"/>
  <c r="G661" i="3"/>
  <c r="E661" i="3"/>
  <c r="B661" i="3"/>
  <c r="A661" i="3"/>
  <c r="G660" i="3"/>
  <c r="B660" i="3"/>
  <c r="A660" i="3"/>
  <c r="G659" i="3"/>
  <c r="B659" i="3"/>
  <c r="A659" i="3"/>
  <c r="E658" i="3"/>
  <c r="B658" i="3"/>
  <c r="A658" i="3"/>
  <c r="G657" i="3"/>
  <c r="B657" i="3"/>
  <c r="A657" i="3"/>
  <c r="G656" i="3"/>
  <c r="B656" i="3"/>
  <c r="A656" i="3"/>
  <c r="E655" i="3"/>
  <c r="B655" i="3"/>
  <c r="A655" i="3"/>
  <c r="G654" i="3"/>
  <c r="B654" i="3"/>
  <c r="A654" i="3"/>
  <c r="G653" i="3"/>
  <c r="B653" i="3"/>
  <c r="A653" i="3"/>
  <c r="E652" i="3"/>
  <c r="B652" i="3"/>
  <c r="A652" i="3"/>
  <c r="G651" i="3"/>
  <c r="B651" i="3"/>
  <c r="A651" i="3"/>
  <c r="G650" i="3"/>
  <c r="E650" i="3"/>
  <c r="B650" i="3"/>
  <c r="A650" i="3"/>
  <c r="G649" i="3"/>
  <c r="E649" i="3"/>
  <c r="B649" i="3"/>
  <c r="A649" i="3"/>
  <c r="G648" i="3"/>
  <c r="E648" i="3"/>
  <c r="B648" i="3"/>
  <c r="A648" i="3"/>
  <c r="G647" i="3"/>
  <c r="E647" i="3"/>
  <c r="B647" i="3"/>
  <c r="A647" i="3"/>
  <c r="G646" i="3"/>
  <c r="E646" i="3"/>
  <c r="B646" i="3"/>
  <c r="A646" i="3"/>
  <c r="G645" i="3"/>
  <c r="E645" i="3"/>
  <c r="B645" i="3"/>
  <c r="A645" i="3"/>
  <c r="G644" i="3"/>
  <c r="E644" i="3"/>
  <c r="B644" i="3"/>
  <c r="A644" i="3"/>
  <c r="G643" i="3"/>
  <c r="E643" i="3"/>
  <c r="B643" i="3"/>
  <c r="A643" i="3"/>
  <c r="G642" i="3"/>
  <c r="E642" i="3"/>
  <c r="B642" i="3"/>
  <c r="A642" i="3"/>
  <c r="G641" i="3"/>
  <c r="E641" i="3"/>
  <c r="B641" i="3"/>
  <c r="A641" i="3"/>
  <c r="G640" i="3"/>
  <c r="E640" i="3"/>
  <c r="B640" i="3"/>
  <c r="A640" i="3"/>
  <c r="G639" i="3"/>
  <c r="E639" i="3"/>
  <c r="B639" i="3"/>
  <c r="A639" i="3"/>
  <c r="G638" i="3"/>
  <c r="E638" i="3"/>
  <c r="B638" i="3"/>
  <c r="A638" i="3"/>
  <c r="G637" i="3"/>
  <c r="E637" i="3"/>
  <c r="B637" i="3"/>
  <c r="A637" i="3"/>
  <c r="G636" i="3"/>
  <c r="E636" i="3"/>
  <c r="B636" i="3"/>
  <c r="A636" i="3"/>
  <c r="G635" i="3"/>
  <c r="B635" i="3"/>
  <c r="A635" i="3"/>
  <c r="G634" i="3"/>
  <c r="B634" i="3"/>
  <c r="A634" i="3"/>
  <c r="E633" i="3"/>
  <c r="B633" i="3"/>
  <c r="A633" i="3"/>
  <c r="G632" i="3"/>
  <c r="E632" i="3"/>
  <c r="B632" i="3"/>
  <c r="A632" i="3"/>
  <c r="G631" i="3"/>
  <c r="E631" i="3"/>
  <c r="B631" i="3"/>
  <c r="A631" i="3"/>
  <c r="G630" i="3"/>
  <c r="E630" i="3"/>
  <c r="B630" i="3"/>
  <c r="A630" i="3"/>
  <c r="G629" i="3"/>
  <c r="E629" i="3"/>
  <c r="B629" i="3"/>
  <c r="A629" i="3"/>
  <c r="G628" i="3"/>
  <c r="E628" i="3"/>
  <c r="B628" i="3"/>
  <c r="A628" i="3"/>
  <c r="G627" i="3"/>
  <c r="B627" i="3"/>
  <c r="A627" i="3"/>
  <c r="G626" i="3"/>
  <c r="B626" i="3"/>
  <c r="A626" i="3"/>
  <c r="E625" i="3"/>
  <c r="B625" i="3"/>
  <c r="A625" i="3"/>
  <c r="G624" i="3"/>
  <c r="B624" i="3"/>
  <c r="A624" i="3"/>
  <c r="G623" i="3"/>
  <c r="B623" i="3"/>
  <c r="A623" i="3"/>
  <c r="E622" i="3"/>
  <c r="B622" i="3"/>
  <c r="A622" i="3"/>
  <c r="G621" i="3"/>
  <c r="E621" i="3"/>
  <c r="B621" i="3"/>
  <c r="A621" i="3"/>
  <c r="G620" i="3"/>
  <c r="E620" i="3"/>
  <c r="B620" i="3"/>
  <c r="A620" i="3"/>
  <c r="G619" i="3"/>
  <c r="B619" i="3"/>
  <c r="A619" i="3"/>
  <c r="G618" i="3"/>
  <c r="B618" i="3"/>
  <c r="A618" i="3"/>
  <c r="E617" i="3"/>
  <c r="B617" i="3"/>
  <c r="A617" i="3"/>
  <c r="G616" i="3"/>
  <c r="E616" i="3"/>
  <c r="B616" i="3"/>
  <c r="A616" i="3"/>
  <c r="G615" i="3"/>
  <c r="E615" i="3"/>
  <c r="B615" i="3"/>
  <c r="A615" i="3"/>
  <c r="G614" i="3"/>
  <c r="E614" i="3"/>
  <c r="B614" i="3"/>
  <c r="A614" i="3"/>
  <c r="G613" i="3"/>
  <c r="E613" i="3"/>
  <c r="B613" i="3"/>
  <c r="A613" i="3"/>
  <c r="G612" i="3"/>
  <c r="E612" i="3"/>
  <c r="B612" i="3"/>
  <c r="A612" i="3"/>
  <c r="G611" i="3"/>
  <c r="B611" i="3"/>
  <c r="A611" i="3"/>
  <c r="G610" i="3"/>
  <c r="B610" i="3"/>
  <c r="A610" i="3"/>
  <c r="E609" i="3"/>
  <c r="B609" i="3"/>
  <c r="A609" i="3"/>
  <c r="G608" i="3"/>
  <c r="E608" i="3"/>
  <c r="B608" i="3"/>
  <c r="A608" i="3"/>
  <c r="G607" i="3"/>
  <c r="E607" i="3"/>
  <c r="B607" i="3"/>
  <c r="A607" i="3"/>
  <c r="G606" i="3"/>
  <c r="E606" i="3"/>
  <c r="B606" i="3"/>
  <c r="A606" i="3"/>
  <c r="G605" i="3"/>
  <c r="E605" i="3"/>
  <c r="B605" i="3"/>
  <c r="A605" i="3"/>
  <c r="G604" i="3"/>
  <c r="E604" i="3"/>
  <c r="B604" i="3"/>
  <c r="A604" i="3"/>
  <c r="G603" i="3"/>
  <c r="E603" i="3"/>
  <c r="B603" i="3"/>
  <c r="A603" i="3"/>
  <c r="G602" i="3"/>
  <c r="E602" i="3"/>
  <c r="B602" i="3"/>
  <c r="A602" i="3"/>
  <c r="G601" i="3"/>
  <c r="E601" i="3"/>
  <c r="B601" i="3"/>
  <c r="A601" i="3"/>
  <c r="G600" i="3"/>
  <c r="E600" i="3"/>
  <c r="B600" i="3"/>
  <c r="A600" i="3"/>
  <c r="G599" i="3"/>
  <c r="E599" i="3"/>
  <c r="B599" i="3"/>
  <c r="A599" i="3"/>
  <c r="G598" i="3"/>
  <c r="E598" i="3"/>
  <c r="B598" i="3"/>
  <c r="A598" i="3"/>
  <c r="G597" i="3"/>
  <c r="E597" i="3"/>
  <c r="B597" i="3"/>
  <c r="A597" i="3"/>
  <c r="G596" i="3"/>
  <c r="E596" i="3"/>
  <c r="B596" i="3"/>
  <c r="A596" i="3"/>
  <c r="G595" i="3"/>
  <c r="E595" i="3"/>
  <c r="B595" i="3"/>
  <c r="A595" i="3"/>
  <c r="G594" i="3"/>
  <c r="E594" i="3"/>
  <c r="B594" i="3"/>
  <c r="A594" i="3"/>
  <c r="G593" i="3"/>
  <c r="E593" i="3"/>
  <c r="B593" i="3"/>
  <c r="A593" i="3"/>
  <c r="G592" i="3"/>
  <c r="E592" i="3"/>
  <c r="B592" i="3"/>
  <c r="A592" i="3"/>
  <c r="G591" i="3"/>
  <c r="E591" i="3"/>
  <c r="B591" i="3"/>
  <c r="A591" i="3"/>
  <c r="G590" i="3"/>
  <c r="B590" i="3"/>
  <c r="A590" i="3"/>
  <c r="G589" i="3"/>
  <c r="B589" i="3"/>
  <c r="A589" i="3"/>
  <c r="G588" i="3"/>
  <c r="B588" i="3"/>
  <c r="A588" i="3"/>
  <c r="E587" i="3"/>
  <c r="B587" i="3"/>
  <c r="A587" i="3"/>
  <c r="G586" i="3"/>
  <c r="E586" i="3"/>
  <c r="B586" i="3"/>
  <c r="A586" i="3"/>
  <c r="G585" i="3"/>
  <c r="E585" i="3"/>
  <c r="B585" i="3"/>
  <c r="A585" i="3"/>
  <c r="G584" i="3"/>
  <c r="E584" i="3"/>
  <c r="B584" i="3"/>
  <c r="A584" i="3"/>
  <c r="G583" i="3"/>
  <c r="E583" i="3"/>
  <c r="B583" i="3"/>
  <c r="A583" i="3"/>
  <c r="G582" i="3"/>
  <c r="E582" i="3"/>
  <c r="B582" i="3"/>
  <c r="A582" i="3"/>
  <c r="G581" i="3"/>
  <c r="B581" i="3"/>
  <c r="A581" i="3"/>
  <c r="G580" i="3"/>
  <c r="B580" i="3"/>
  <c r="A580" i="3"/>
  <c r="G579" i="3"/>
  <c r="B579" i="3"/>
  <c r="A579" i="3"/>
  <c r="E578" i="3"/>
  <c r="B578" i="3"/>
  <c r="A578" i="3"/>
  <c r="G577" i="3"/>
  <c r="E577" i="3"/>
  <c r="B577" i="3"/>
  <c r="A577" i="3"/>
  <c r="G576" i="3"/>
  <c r="E576" i="3"/>
  <c r="B576" i="3"/>
  <c r="A576" i="3"/>
  <c r="G575" i="3"/>
  <c r="E575" i="3"/>
  <c r="B575" i="3"/>
  <c r="A575" i="3"/>
  <c r="G574" i="3"/>
  <c r="E574" i="3"/>
  <c r="B574" i="3"/>
  <c r="A574" i="3"/>
  <c r="G573" i="3"/>
  <c r="E573" i="3"/>
  <c r="B573" i="3"/>
  <c r="A573" i="3"/>
  <c r="G572" i="3"/>
  <c r="E572" i="3"/>
  <c r="B572" i="3"/>
  <c r="A572" i="3"/>
  <c r="G571" i="3"/>
  <c r="E571" i="3"/>
  <c r="B571" i="3"/>
  <c r="A571" i="3"/>
  <c r="G570" i="3"/>
  <c r="E570" i="3"/>
  <c r="B570" i="3"/>
  <c r="A570" i="3"/>
  <c r="G569" i="3"/>
  <c r="E569" i="3"/>
  <c r="B569" i="3"/>
  <c r="A569" i="3"/>
  <c r="G568" i="3"/>
  <c r="E568" i="3"/>
  <c r="B568" i="3"/>
  <c r="A568" i="3"/>
  <c r="G567" i="3"/>
  <c r="E567" i="3"/>
  <c r="B567" i="3"/>
  <c r="A567" i="3"/>
  <c r="G566" i="3"/>
  <c r="E566" i="3"/>
  <c r="B566" i="3"/>
  <c r="A566" i="3"/>
  <c r="G565" i="3"/>
  <c r="E565" i="3"/>
  <c r="B565" i="3"/>
  <c r="A565" i="3"/>
  <c r="G564" i="3"/>
  <c r="E564" i="3"/>
  <c r="B564" i="3"/>
  <c r="A564" i="3"/>
  <c r="G563" i="3"/>
  <c r="E563" i="3"/>
  <c r="B563" i="3"/>
  <c r="A563" i="3"/>
  <c r="G562" i="3"/>
  <c r="E562" i="3"/>
  <c r="B562" i="3"/>
  <c r="A562" i="3"/>
  <c r="G561" i="3"/>
  <c r="E561" i="3"/>
  <c r="B561" i="3"/>
  <c r="A561" i="3"/>
  <c r="G560" i="3"/>
  <c r="E560" i="3"/>
  <c r="B560" i="3"/>
  <c r="A560" i="3"/>
  <c r="G559" i="3"/>
  <c r="E559" i="3"/>
  <c r="B559" i="3"/>
  <c r="A559" i="3"/>
  <c r="G558" i="3"/>
  <c r="E558" i="3"/>
  <c r="B558" i="3"/>
  <c r="A558" i="3"/>
  <c r="G557" i="3"/>
  <c r="E557" i="3"/>
  <c r="B557" i="3"/>
  <c r="A557" i="3"/>
  <c r="G556" i="3"/>
  <c r="E556" i="3"/>
  <c r="B556" i="3"/>
  <c r="A556" i="3"/>
  <c r="G555" i="3"/>
  <c r="E555" i="3"/>
  <c r="B555" i="3"/>
  <c r="A555" i="3"/>
  <c r="G554" i="3"/>
  <c r="E554" i="3"/>
  <c r="B554" i="3"/>
  <c r="A554" i="3"/>
  <c r="G553" i="3"/>
  <c r="E553" i="3"/>
  <c r="B553" i="3"/>
  <c r="A553" i="3"/>
  <c r="G552" i="3"/>
  <c r="E552" i="3"/>
  <c r="B552" i="3"/>
  <c r="A552" i="3"/>
  <c r="G551" i="3"/>
  <c r="E551" i="3"/>
  <c r="B551" i="3"/>
  <c r="A551" i="3"/>
  <c r="G550" i="3"/>
  <c r="E550" i="3"/>
  <c r="B550" i="3"/>
  <c r="A550" i="3"/>
  <c r="G549" i="3"/>
  <c r="E549" i="3"/>
  <c r="B549" i="3"/>
  <c r="A549" i="3"/>
  <c r="G548" i="3"/>
  <c r="B548" i="3"/>
  <c r="A548" i="3"/>
  <c r="G547" i="3"/>
  <c r="B547" i="3"/>
  <c r="A547" i="3"/>
  <c r="E546" i="3"/>
  <c r="B546" i="3"/>
  <c r="A546" i="3"/>
  <c r="G545" i="3"/>
  <c r="E545" i="3"/>
  <c r="B545" i="3"/>
  <c r="A545" i="3"/>
  <c r="G544" i="3"/>
  <c r="E544" i="3"/>
  <c r="B544" i="3"/>
  <c r="A544" i="3"/>
  <c r="G543" i="3"/>
  <c r="E543" i="3"/>
  <c r="B543" i="3"/>
  <c r="A543" i="3"/>
  <c r="G542" i="3"/>
  <c r="E542" i="3"/>
  <c r="B542" i="3"/>
  <c r="A542" i="3"/>
  <c r="G541" i="3"/>
  <c r="E541" i="3"/>
  <c r="B541" i="3"/>
  <c r="A541" i="3"/>
  <c r="G540" i="3"/>
  <c r="E540" i="3"/>
  <c r="B540" i="3"/>
  <c r="A540" i="3"/>
  <c r="G539" i="3"/>
  <c r="E539" i="3"/>
  <c r="B539" i="3"/>
  <c r="A539" i="3"/>
  <c r="G538" i="3"/>
  <c r="E538" i="3"/>
  <c r="B538" i="3"/>
  <c r="A538" i="3"/>
  <c r="G537" i="3"/>
  <c r="E537" i="3"/>
  <c r="B537" i="3"/>
  <c r="A537" i="3"/>
  <c r="G536" i="3"/>
  <c r="E536" i="3"/>
  <c r="B536" i="3"/>
  <c r="A536" i="3"/>
  <c r="G535" i="3"/>
  <c r="E535" i="3"/>
  <c r="B535" i="3"/>
  <c r="A535" i="3"/>
  <c r="G534" i="3"/>
  <c r="E534" i="3"/>
  <c r="B534" i="3"/>
  <c r="A534" i="3"/>
  <c r="G533" i="3"/>
  <c r="E533" i="3"/>
  <c r="B533" i="3"/>
  <c r="A533" i="3"/>
  <c r="G532" i="3"/>
  <c r="E532" i="3"/>
  <c r="B532" i="3"/>
  <c r="A532" i="3"/>
  <c r="G531" i="3"/>
  <c r="E531" i="3"/>
  <c r="B531" i="3"/>
  <c r="A531" i="3"/>
  <c r="G530" i="3"/>
  <c r="E530" i="3"/>
  <c r="B530" i="3"/>
  <c r="A530" i="3"/>
  <c r="G529" i="3"/>
  <c r="E529" i="3"/>
  <c r="B529" i="3"/>
  <c r="A529" i="3"/>
  <c r="G528" i="3"/>
  <c r="E528" i="3"/>
  <c r="B528" i="3"/>
  <c r="A528" i="3"/>
  <c r="G527" i="3"/>
  <c r="E527" i="3"/>
  <c r="B527" i="3"/>
  <c r="A527" i="3"/>
  <c r="G526" i="3"/>
  <c r="E526" i="3"/>
  <c r="B526" i="3"/>
  <c r="A526" i="3"/>
  <c r="G525" i="3"/>
  <c r="E525" i="3"/>
  <c r="B525" i="3"/>
  <c r="A525" i="3"/>
  <c r="G524" i="3"/>
  <c r="E524" i="3"/>
  <c r="B524" i="3"/>
  <c r="A524" i="3"/>
  <c r="G523" i="3"/>
  <c r="E523" i="3"/>
  <c r="B523" i="3"/>
  <c r="A523" i="3"/>
  <c r="G522" i="3"/>
  <c r="E522" i="3"/>
  <c r="B522" i="3"/>
  <c r="A522" i="3"/>
  <c r="G521" i="3"/>
  <c r="E521" i="3"/>
  <c r="B521" i="3"/>
  <c r="A521" i="3"/>
  <c r="G520" i="3"/>
  <c r="E520" i="3"/>
  <c r="B520" i="3"/>
  <c r="A520" i="3"/>
  <c r="G519" i="3"/>
  <c r="E519" i="3"/>
  <c r="B519" i="3"/>
  <c r="A519" i="3"/>
  <c r="G518" i="3"/>
  <c r="E518" i="3"/>
  <c r="B518" i="3"/>
  <c r="A518" i="3"/>
  <c r="G517" i="3"/>
  <c r="E517" i="3"/>
  <c r="B517" i="3"/>
  <c r="A517" i="3"/>
  <c r="G516" i="3"/>
  <c r="E516" i="3"/>
  <c r="B516" i="3"/>
  <c r="A516" i="3"/>
  <c r="G515" i="3"/>
  <c r="E515" i="3"/>
  <c r="B515" i="3"/>
  <c r="A515" i="3"/>
  <c r="G514" i="3"/>
  <c r="E514" i="3"/>
  <c r="B514" i="3"/>
  <c r="A514" i="3"/>
  <c r="G513" i="3"/>
  <c r="E513" i="3"/>
  <c r="B513" i="3"/>
  <c r="A513" i="3"/>
  <c r="G512" i="3"/>
  <c r="E512" i="3"/>
  <c r="B512" i="3"/>
  <c r="A512" i="3"/>
  <c r="G511" i="3"/>
  <c r="E511" i="3"/>
  <c r="B511" i="3"/>
  <c r="A511" i="3"/>
  <c r="G510" i="3"/>
  <c r="E510" i="3"/>
  <c r="B510" i="3"/>
  <c r="A510" i="3"/>
  <c r="G509" i="3"/>
  <c r="E509" i="3"/>
  <c r="B509" i="3"/>
  <c r="A509" i="3"/>
  <c r="G508" i="3"/>
  <c r="E508" i="3"/>
  <c r="B508" i="3"/>
  <c r="A508" i="3"/>
  <c r="G507" i="3"/>
  <c r="E507" i="3"/>
  <c r="B507" i="3"/>
  <c r="A507" i="3"/>
  <c r="G506" i="3"/>
  <c r="E506" i="3"/>
  <c r="B506" i="3"/>
  <c r="A506" i="3"/>
  <c r="G505" i="3"/>
  <c r="E505" i="3"/>
  <c r="B505" i="3"/>
  <c r="A505" i="3"/>
  <c r="G504" i="3"/>
  <c r="E504" i="3"/>
  <c r="B504" i="3"/>
  <c r="A504" i="3"/>
  <c r="G503" i="3"/>
  <c r="E503" i="3"/>
  <c r="B503" i="3"/>
  <c r="A503" i="3"/>
  <c r="G502" i="3"/>
  <c r="E502" i="3"/>
  <c r="B502" i="3"/>
  <c r="A502" i="3"/>
  <c r="G501" i="3"/>
  <c r="E501" i="3"/>
  <c r="B501" i="3"/>
  <c r="A501" i="3"/>
  <c r="G500" i="3"/>
  <c r="E500" i="3"/>
  <c r="B500" i="3"/>
  <c r="A500" i="3"/>
  <c r="G499" i="3"/>
  <c r="E499" i="3"/>
  <c r="B499" i="3"/>
  <c r="A499" i="3"/>
  <c r="G498" i="3"/>
  <c r="E498" i="3"/>
  <c r="B498" i="3"/>
  <c r="A498" i="3"/>
  <c r="G497" i="3"/>
  <c r="E497" i="3"/>
  <c r="B497" i="3"/>
  <c r="A497" i="3"/>
  <c r="G496" i="3"/>
  <c r="E496" i="3"/>
  <c r="B496" i="3"/>
  <c r="A496" i="3"/>
  <c r="G495" i="3"/>
  <c r="E495" i="3"/>
  <c r="B495" i="3"/>
  <c r="A495" i="3"/>
  <c r="G494" i="3"/>
  <c r="E494" i="3"/>
  <c r="B494" i="3"/>
  <c r="A494" i="3"/>
  <c r="G493" i="3"/>
  <c r="E493" i="3"/>
  <c r="B493" i="3"/>
  <c r="A493" i="3"/>
  <c r="G492" i="3"/>
  <c r="E492" i="3"/>
  <c r="B492" i="3"/>
  <c r="A492" i="3"/>
  <c r="G491" i="3"/>
  <c r="E491" i="3"/>
  <c r="B491" i="3"/>
  <c r="A491" i="3"/>
  <c r="G490" i="3"/>
  <c r="E490" i="3"/>
  <c r="B490" i="3"/>
  <c r="A490" i="3"/>
  <c r="G489" i="3"/>
  <c r="E489" i="3"/>
  <c r="B489" i="3"/>
  <c r="A489" i="3"/>
  <c r="G488" i="3"/>
  <c r="E488" i="3"/>
  <c r="B488" i="3"/>
  <c r="A488" i="3"/>
  <c r="G487" i="3"/>
  <c r="E487" i="3"/>
  <c r="B487" i="3"/>
  <c r="A487" i="3"/>
  <c r="G486" i="3"/>
  <c r="E486" i="3"/>
  <c r="B486" i="3"/>
  <c r="A486" i="3"/>
  <c r="G485" i="3"/>
  <c r="E485" i="3"/>
  <c r="B485" i="3"/>
  <c r="A485" i="3"/>
  <c r="G484" i="3"/>
  <c r="E484" i="3"/>
  <c r="B484" i="3"/>
  <c r="A484" i="3"/>
  <c r="G483" i="3"/>
  <c r="E483" i="3"/>
  <c r="B483" i="3"/>
  <c r="A483" i="3"/>
  <c r="G482" i="3"/>
  <c r="E482" i="3"/>
  <c r="B482" i="3"/>
  <c r="A482" i="3"/>
  <c r="G481" i="3"/>
  <c r="E481" i="3"/>
  <c r="B481" i="3"/>
  <c r="A481" i="3"/>
  <c r="G480" i="3"/>
  <c r="E480" i="3"/>
  <c r="B480" i="3"/>
  <c r="A480" i="3"/>
  <c r="G479" i="3"/>
  <c r="E479" i="3"/>
  <c r="B479" i="3"/>
  <c r="A479" i="3"/>
  <c r="G478" i="3"/>
  <c r="E478" i="3"/>
  <c r="B478" i="3"/>
  <c r="A478" i="3"/>
  <c r="G477" i="3"/>
  <c r="E477" i="3"/>
  <c r="B477" i="3"/>
  <c r="A477" i="3"/>
  <c r="G476" i="3"/>
  <c r="E476" i="3"/>
  <c r="B476" i="3"/>
  <c r="A476" i="3"/>
  <c r="G475" i="3"/>
  <c r="E475" i="3"/>
  <c r="B475" i="3"/>
  <c r="A475" i="3"/>
  <c r="G474" i="3"/>
  <c r="E474" i="3"/>
  <c r="B474" i="3"/>
  <c r="A474" i="3"/>
  <c r="G473" i="3"/>
  <c r="E473" i="3"/>
  <c r="B473" i="3"/>
  <c r="A473" i="3"/>
  <c r="G472" i="3"/>
  <c r="E472" i="3"/>
  <c r="B472" i="3"/>
  <c r="A472" i="3"/>
  <c r="G471" i="3"/>
  <c r="E471" i="3"/>
  <c r="B471" i="3"/>
  <c r="A471" i="3"/>
  <c r="G470" i="3"/>
  <c r="E470" i="3"/>
  <c r="B470" i="3"/>
  <c r="A470" i="3"/>
  <c r="G469" i="3"/>
  <c r="E469" i="3"/>
  <c r="B469" i="3"/>
  <c r="A469" i="3"/>
  <c r="G468" i="3"/>
  <c r="E468" i="3"/>
  <c r="B468" i="3"/>
  <c r="A468" i="3"/>
  <c r="G467" i="3"/>
  <c r="E467" i="3"/>
  <c r="B467" i="3"/>
  <c r="A467" i="3"/>
  <c r="G466" i="3"/>
  <c r="E466" i="3"/>
  <c r="B466" i="3"/>
  <c r="A466" i="3"/>
  <c r="G465" i="3"/>
  <c r="E465" i="3"/>
  <c r="B465" i="3"/>
  <c r="A465" i="3"/>
  <c r="G464" i="3"/>
  <c r="E464" i="3"/>
  <c r="B464" i="3"/>
  <c r="A464" i="3"/>
  <c r="G463" i="3"/>
  <c r="E463" i="3"/>
  <c r="B463" i="3"/>
  <c r="A463" i="3"/>
  <c r="G462" i="3"/>
  <c r="E462" i="3"/>
  <c r="B462" i="3"/>
  <c r="A462" i="3"/>
  <c r="G461" i="3"/>
  <c r="E461" i="3"/>
  <c r="B461" i="3"/>
  <c r="A461" i="3"/>
  <c r="G460" i="3"/>
  <c r="E460" i="3"/>
  <c r="B460" i="3"/>
  <c r="A460" i="3"/>
  <c r="G459" i="3"/>
  <c r="E459" i="3"/>
  <c r="B459" i="3"/>
  <c r="A459" i="3"/>
  <c r="G458" i="3"/>
  <c r="E458" i="3"/>
  <c r="B458" i="3"/>
  <c r="A458" i="3"/>
  <c r="G457" i="3"/>
  <c r="E457" i="3"/>
  <c r="B457" i="3"/>
  <c r="A457" i="3"/>
  <c r="G456" i="3"/>
  <c r="E456" i="3"/>
  <c r="B456" i="3"/>
  <c r="A456" i="3"/>
  <c r="G455" i="3"/>
  <c r="E455" i="3"/>
  <c r="B455" i="3"/>
  <c r="A455" i="3"/>
  <c r="G454" i="3"/>
  <c r="E454" i="3"/>
  <c r="B454" i="3"/>
  <c r="A454" i="3"/>
  <c r="G453" i="3"/>
  <c r="E453" i="3"/>
  <c r="B453" i="3"/>
  <c r="A453" i="3"/>
  <c r="G452" i="3"/>
  <c r="E452" i="3"/>
  <c r="B452" i="3"/>
  <c r="A452" i="3"/>
  <c r="G451" i="3"/>
  <c r="B451" i="3"/>
  <c r="A451" i="3"/>
  <c r="G450" i="3"/>
  <c r="E450" i="3"/>
  <c r="B450" i="3"/>
  <c r="A450" i="3"/>
  <c r="G449" i="3"/>
  <c r="E449" i="3"/>
  <c r="B449" i="3"/>
  <c r="A449" i="3"/>
  <c r="G448" i="3"/>
  <c r="E448" i="3"/>
  <c r="B448" i="3"/>
  <c r="A448" i="3"/>
  <c r="G447" i="3"/>
  <c r="E447" i="3"/>
  <c r="B447" i="3"/>
  <c r="A447" i="3"/>
  <c r="G446" i="3"/>
  <c r="E446" i="3"/>
  <c r="B446" i="3"/>
  <c r="A446" i="3"/>
  <c r="G445" i="3"/>
  <c r="E445" i="3"/>
  <c r="B445" i="3"/>
  <c r="A445" i="3"/>
  <c r="G444" i="3"/>
  <c r="E444" i="3"/>
  <c r="B444" i="3"/>
  <c r="A444" i="3"/>
  <c r="G443" i="3"/>
  <c r="E443" i="3"/>
  <c r="B443" i="3"/>
  <c r="A443" i="3"/>
  <c r="G442" i="3"/>
  <c r="E442" i="3"/>
  <c r="B442" i="3"/>
  <c r="A442" i="3"/>
  <c r="G441" i="3"/>
  <c r="E441" i="3"/>
  <c r="B441" i="3"/>
  <c r="A441" i="3"/>
  <c r="G440" i="3"/>
  <c r="E440" i="3"/>
  <c r="B440" i="3"/>
  <c r="A440" i="3"/>
  <c r="G439" i="3"/>
  <c r="E439" i="3"/>
  <c r="B439" i="3"/>
  <c r="A439" i="3"/>
  <c r="G438" i="3"/>
  <c r="E438" i="3"/>
  <c r="B438" i="3"/>
  <c r="A438" i="3"/>
  <c r="G437" i="3"/>
  <c r="E437" i="3"/>
  <c r="B437" i="3"/>
  <c r="A437" i="3"/>
  <c r="G436" i="3"/>
  <c r="E436" i="3"/>
  <c r="B436" i="3"/>
  <c r="A436" i="3"/>
  <c r="G435" i="3"/>
  <c r="E435" i="3"/>
  <c r="B435" i="3"/>
  <c r="A435" i="3"/>
  <c r="G434" i="3"/>
  <c r="E434" i="3"/>
  <c r="B434" i="3"/>
  <c r="A434" i="3"/>
  <c r="G433" i="3"/>
  <c r="E433" i="3"/>
  <c r="B433" i="3"/>
  <c r="A433" i="3"/>
  <c r="G432" i="3"/>
  <c r="E432" i="3"/>
  <c r="B432" i="3"/>
  <c r="A432" i="3"/>
  <c r="G431" i="3"/>
  <c r="E431" i="3"/>
  <c r="B431" i="3"/>
  <c r="A431" i="3"/>
  <c r="G430" i="3"/>
  <c r="E430" i="3"/>
  <c r="B430" i="3"/>
  <c r="A430" i="3"/>
  <c r="G429" i="3"/>
  <c r="E429" i="3"/>
  <c r="B429" i="3"/>
  <c r="A429" i="3"/>
  <c r="G428" i="3"/>
  <c r="B428" i="3"/>
  <c r="A428" i="3"/>
  <c r="G427" i="3"/>
  <c r="B427" i="3"/>
  <c r="A427" i="3"/>
  <c r="E426" i="3"/>
  <c r="B426" i="3"/>
  <c r="A426" i="3"/>
  <c r="G425" i="3"/>
  <c r="B425" i="3"/>
  <c r="A425" i="3"/>
  <c r="G424" i="3"/>
  <c r="B424" i="3"/>
  <c r="A424" i="3"/>
  <c r="E423" i="3"/>
  <c r="B423" i="3"/>
  <c r="A423" i="3"/>
  <c r="G422" i="3"/>
  <c r="E422" i="3"/>
  <c r="B422" i="3"/>
  <c r="A422" i="3"/>
  <c r="G421" i="3"/>
  <c r="E421" i="3"/>
  <c r="B421" i="3"/>
  <c r="A421" i="3"/>
  <c r="G420" i="3"/>
  <c r="E420" i="3"/>
  <c r="B420" i="3"/>
  <c r="A420" i="3"/>
  <c r="G419" i="3"/>
  <c r="E419" i="3"/>
  <c r="B419" i="3"/>
  <c r="A419" i="3"/>
  <c r="E418" i="3"/>
  <c r="B418" i="3"/>
  <c r="A418" i="3"/>
  <c r="G417" i="3"/>
  <c r="E417" i="3"/>
  <c r="B417" i="3"/>
  <c r="A417" i="3"/>
  <c r="G416" i="3"/>
  <c r="E416" i="3"/>
  <c r="B416" i="3"/>
  <c r="A416" i="3"/>
  <c r="G415" i="3"/>
  <c r="E415" i="3"/>
  <c r="B415" i="3"/>
  <c r="A415" i="3"/>
  <c r="G414" i="3"/>
  <c r="E414" i="3"/>
  <c r="B414" i="3"/>
  <c r="A414" i="3"/>
  <c r="G413" i="3"/>
  <c r="B413" i="3"/>
  <c r="A413" i="3"/>
  <c r="G412" i="3"/>
  <c r="B412" i="3"/>
  <c r="A412" i="3"/>
  <c r="E411" i="3"/>
  <c r="B411" i="3"/>
  <c r="A411" i="3"/>
  <c r="G410" i="3"/>
  <c r="E410" i="3"/>
  <c r="B410" i="3"/>
  <c r="A410" i="3"/>
  <c r="G409" i="3"/>
  <c r="E409" i="3"/>
  <c r="B409" i="3"/>
  <c r="A409" i="3"/>
  <c r="G408" i="3"/>
  <c r="E408" i="3"/>
  <c r="B408" i="3"/>
  <c r="A408" i="3"/>
  <c r="G407" i="3"/>
  <c r="E407" i="3"/>
  <c r="B407" i="3"/>
  <c r="A407" i="3"/>
  <c r="G406" i="3"/>
  <c r="E406" i="3"/>
  <c r="B406" i="3"/>
  <c r="A406" i="3"/>
  <c r="G405" i="3"/>
  <c r="E405" i="3"/>
  <c r="B405" i="3"/>
  <c r="A405" i="3"/>
  <c r="G404" i="3"/>
  <c r="E404" i="3"/>
  <c r="B404" i="3"/>
  <c r="A404" i="3"/>
  <c r="G403" i="3"/>
  <c r="E403" i="3"/>
  <c r="B403" i="3"/>
  <c r="A403" i="3"/>
  <c r="G402" i="3"/>
  <c r="E402" i="3"/>
  <c r="B402" i="3"/>
  <c r="A402" i="3"/>
  <c r="G401" i="3"/>
  <c r="E401" i="3"/>
  <c r="B401" i="3"/>
  <c r="A401" i="3"/>
  <c r="G400" i="3"/>
  <c r="E400" i="3"/>
  <c r="B400" i="3"/>
  <c r="A400" i="3"/>
  <c r="G399" i="3"/>
  <c r="E399" i="3"/>
  <c r="B399" i="3"/>
  <c r="A399" i="3"/>
  <c r="G398" i="3"/>
  <c r="E398" i="3"/>
  <c r="B398" i="3"/>
  <c r="A398" i="3"/>
  <c r="G397" i="3"/>
  <c r="E397" i="3"/>
  <c r="B397" i="3"/>
  <c r="A397" i="3"/>
  <c r="G396" i="3"/>
  <c r="E396" i="3"/>
  <c r="B396" i="3"/>
  <c r="A396" i="3"/>
  <c r="G395" i="3"/>
  <c r="E395" i="3"/>
  <c r="B395" i="3"/>
  <c r="A395" i="3"/>
  <c r="G394" i="3"/>
  <c r="B394" i="3"/>
  <c r="A394" i="3"/>
  <c r="G393" i="3"/>
  <c r="B393" i="3"/>
  <c r="A393" i="3"/>
  <c r="G392" i="3"/>
  <c r="B392" i="3"/>
  <c r="A392" i="3"/>
  <c r="G391" i="3"/>
  <c r="B391" i="3"/>
  <c r="A391" i="3"/>
  <c r="G390" i="3"/>
  <c r="B390" i="3"/>
  <c r="A390" i="3"/>
  <c r="G389" i="3"/>
  <c r="B389" i="3"/>
  <c r="A389" i="3"/>
  <c r="G388" i="3"/>
  <c r="B388" i="3"/>
  <c r="A388" i="3"/>
  <c r="G387" i="3"/>
  <c r="B387" i="3"/>
  <c r="A387" i="3"/>
  <c r="G386" i="3"/>
  <c r="B386" i="3"/>
  <c r="A386" i="3"/>
  <c r="G385" i="3"/>
  <c r="B385" i="3"/>
  <c r="A385" i="3"/>
  <c r="G384" i="3"/>
  <c r="B384" i="3"/>
  <c r="A384" i="3"/>
  <c r="G383" i="3"/>
  <c r="B383" i="3"/>
  <c r="A383" i="3"/>
  <c r="G382" i="3"/>
  <c r="B382" i="3"/>
  <c r="A382" i="3"/>
  <c r="G381" i="3"/>
  <c r="B381" i="3"/>
  <c r="A381" i="3"/>
  <c r="G380" i="3"/>
  <c r="B380" i="3"/>
  <c r="A380" i="3"/>
  <c r="G379" i="3"/>
  <c r="B379" i="3"/>
  <c r="A379" i="3"/>
  <c r="G378" i="3"/>
  <c r="B378" i="3"/>
  <c r="A378" i="3"/>
  <c r="E377" i="3"/>
  <c r="B377" i="3"/>
  <c r="A377" i="3"/>
  <c r="G376" i="3"/>
  <c r="B376" i="3"/>
  <c r="A376" i="3"/>
  <c r="G375" i="3"/>
  <c r="B375" i="3"/>
  <c r="A375" i="3"/>
  <c r="G374" i="3"/>
  <c r="B374" i="3"/>
  <c r="A374" i="3"/>
  <c r="G373" i="3"/>
  <c r="B373" i="3"/>
  <c r="A373" i="3"/>
  <c r="G372" i="3"/>
  <c r="B372" i="3"/>
  <c r="A372" i="3"/>
  <c r="G371" i="3"/>
  <c r="B371" i="3"/>
  <c r="A371" i="3"/>
  <c r="G370" i="3"/>
  <c r="B370" i="3"/>
  <c r="A370" i="3"/>
  <c r="G369" i="3"/>
  <c r="B369" i="3"/>
  <c r="A369" i="3"/>
  <c r="G368" i="3"/>
  <c r="B368" i="3"/>
  <c r="A368" i="3"/>
  <c r="G367" i="3"/>
  <c r="B367" i="3"/>
  <c r="A367" i="3"/>
  <c r="G366" i="3"/>
  <c r="B366" i="3"/>
  <c r="A366" i="3"/>
  <c r="G365" i="3"/>
  <c r="B365" i="3"/>
  <c r="A365" i="3"/>
  <c r="G364" i="3"/>
  <c r="B364" i="3"/>
  <c r="A364" i="3"/>
  <c r="G363" i="3"/>
  <c r="B363" i="3"/>
  <c r="A363" i="3"/>
  <c r="G362" i="3"/>
  <c r="B362" i="3"/>
  <c r="A362" i="3"/>
  <c r="G361" i="3"/>
  <c r="B361" i="3"/>
  <c r="A361" i="3"/>
  <c r="G360" i="3"/>
  <c r="B360" i="3"/>
  <c r="A360" i="3"/>
  <c r="E359" i="3"/>
  <c r="B359" i="3"/>
  <c r="A359" i="3"/>
  <c r="G358" i="3"/>
  <c r="B358" i="3"/>
  <c r="A358" i="3"/>
  <c r="G357" i="3"/>
  <c r="B357" i="3"/>
  <c r="A357" i="3"/>
  <c r="G356" i="3"/>
  <c r="B356" i="3"/>
  <c r="A356" i="3"/>
  <c r="G355" i="3"/>
  <c r="B355" i="3"/>
  <c r="A355" i="3"/>
  <c r="G354" i="3"/>
  <c r="B354" i="3"/>
  <c r="A354" i="3"/>
  <c r="G353" i="3"/>
  <c r="B353" i="3"/>
  <c r="A353" i="3"/>
  <c r="G352" i="3"/>
  <c r="B352" i="3"/>
  <c r="A352" i="3"/>
  <c r="G351" i="3"/>
  <c r="B351" i="3"/>
  <c r="A351" i="3"/>
  <c r="G350" i="3"/>
  <c r="B350" i="3"/>
  <c r="A350" i="3"/>
  <c r="G349" i="3"/>
  <c r="B349" i="3"/>
  <c r="A349" i="3"/>
  <c r="G348" i="3"/>
  <c r="B348" i="3"/>
  <c r="A348" i="3"/>
  <c r="G347" i="3"/>
  <c r="B347" i="3"/>
  <c r="A347" i="3"/>
  <c r="G346" i="3"/>
  <c r="B346" i="3"/>
  <c r="A346" i="3"/>
  <c r="G345" i="3"/>
  <c r="B345" i="3"/>
  <c r="A345" i="3"/>
  <c r="G344" i="3"/>
  <c r="B344" i="3"/>
  <c r="A344" i="3"/>
  <c r="G343" i="3"/>
  <c r="B343" i="3"/>
  <c r="A343" i="3"/>
  <c r="G342" i="3"/>
  <c r="B342" i="3"/>
  <c r="A342" i="3"/>
  <c r="E341" i="3"/>
  <c r="B341" i="3"/>
  <c r="A341" i="3"/>
  <c r="G340" i="3"/>
  <c r="B340" i="3"/>
  <c r="A340" i="3"/>
  <c r="G339" i="3"/>
  <c r="B339" i="3"/>
  <c r="A339" i="3"/>
  <c r="G338" i="3"/>
  <c r="B338" i="3"/>
  <c r="A338" i="3"/>
  <c r="G337" i="3"/>
  <c r="B337" i="3"/>
  <c r="A337" i="3"/>
  <c r="G336" i="3"/>
  <c r="B336" i="3"/>
  <c r="A336" i="3"/>
  <c r="G335" i="3"/>
  <c r="B335" i="3"/>
  <c r="A335" i="3"/>
  <c r="G334" i="3"/>
  <c r="B334" i="3"/>
  <c r="A334" i="3"/>
  <c r="G333" i="3"/>
  <c r="B333" i="3"/>
  <c r="A333" i="3"/>
  <c r="G332" i="3"/>
  <c r="B332" i="3"/>
  <c r="A332" i="3"/>
  <c r="G331" i="3"/>
  <c r="B331" i="3"/>
  <c r="A331" i="3"/>
  <c r="G330" i="3"/>
  <c r="B330" i="3"/>
  <c r="A330" i="3"/>
  <c r="G329" i="3"/>
  <c r="B329" i="3"/>
  <c r="A329" i="3"/>
  <c r="G328" i="3"/>
  <c r="B328" i="3"/>
  <c r="A328" i="3"/>
  <c r="G327" i="3"/>
  <c r="B327" i="3"/>
  <c r="A327" i="3"/>
  <c r="G326" i="3"/>
  <c r="B326" i="3"/>
  <c r="A326" i="3"/>
  <c r="G325" i="3"/>
  <c r="B325" i="3"/>
  <c r="A325" i="3"/>
  <c r="E324" i="3"/>
  <c r="B324" i="3"/>
  <c r="A324" i="3"/>
  <c r="G323" i="3"/>
  <c r="E323" i="3"/>
  <c r="B323" i="3"/>
  <c r="A323" i="3"/>
  <c r="G322" i="3"/>
  <c r="E322" i="3"/>
  <c r="B322" i="3"/>
  <c r="A322" i="3"/>
  <c r="G321" i="3"/>
  <c r="E321" i="3"/>
  <c r="B321" i="3"/>
  <c r="A321" i="3"/>
  <c r="G320" i="3"/>
  <c r="E320" i="3"/>
  <c r="B320" i="3"/>
  <c r="A320" i="3"/>
  <c r="G319" i="3"/>
  <c r="B319" i="3"/>
  <c r="A319" i="3"/>
  <c r="G318" i="3"/>
  <c r="B318" i="3"/>
  <c r="A318" i="3"/>
  <c r="E317" i="3"/>
  <c r="B317" i="3"/>
  <c r="A317" i="3"/>
  <c r="G316" i="3"/>
  <c r="E316" i="3"/>
  <c r="B316" i="3"/>
  <c r="A316" i="3"/>
  <c r="G315" i="3"/>
  <c r="E315" i="3"/>
  <c r="B315" i="3"/>
  <c r="A315" i="3"/>
  <c r="G314" i="3"/>
  <c r="E314" i="3"/>
  <c r="B314" i="3"/>
  <c r="A314" i="3"/>
  <c r="G313" i="3"/>
  <c r="E313" i="3"/>
  <c r="B313" i="3"/>
  <c r="A313" i="3"/>
  <c r="G312" i="3"/>
  <c r="E312" i="3"/>
  <c r="B312" i="3"/>
  <c r="A312" i="3"/>
  <c r="G311" i="3"/>
  <c r="E311" i="3"/>
  <c r="B311" i="3"/>
  <c r="A311" i="3"/>
  <c r="G310" i="3"/>
  <c r="B310" i="3"/>
  <c r="A310" i="3"/>
  <c r="G309" i="3"/>
  <c r="B309" i="3"/>
  <c r="A309" i="3"/>
  <c r="E308" i="3"/>
  <c r="B308" i="3"/>
  <c r="A308" i="3"/>
  <c r="G307" i="3"/>
  <c r="E307" i="3"/>
  <c r="B307" i="3"/>
  <c r="A307" i="3"/>
  <c r="G306" i="3"/>
  <c r="B306" i="3"/>
  <c r="A306" i="3"/>
  <c r="G305" i="3"/>
  <c r="B305" i="3"/>
  <c r="A305" i="3"/>
  <c r="G304" i="3"/>
  <c r="B304" i="3"/>
  <c r="A304" i="3"/>
  <c r="G303" i="3"/>
  <c r="B303" i="3"/>
  <c r="A303" i="3"/>
  <c r="E302" i="3"/>
  <c r="B302" i="3"/>
  <c r="A302" i="3"/>
  <c r="G301" i="3"/>
  <c r="B301" i="3"/>
  <c r="A301" i="3"/>
  <c r="G300" i="3"/>
  <c r="B300" i="3"/>
  <c r="A300" i="3"/>
  <c r="G299" i="3"/>
  <c r="B299" i="3"/>
  <c r="A299" i="3"/>
  <c r="G298" i="3"/>
  <c r="B298" i="3"/>
  <c r="A298" i="3"/>
  <c r="E297" i="3"/>
  <c r="B297" i="3"/>
  <c r="A297" i="3"/>
  <c r="G296" i="3"/>
  <c r="B296" i="3"/>
  <c r="A296" i="3"/>
  <c r="G295" i="3"/>
  <c r="B295" i="3"/>
  <c r="A295" i="3"/>
  <c r="G294" i="3"/>
  <c r="B294" i="3"/>
  <c r="A294" i="3"/>
  <c r="G293" i="3"/>
  <c r="B293" i="3"/>
  <c r="A293" i="3"/>
  <c r="E292" i="3"/>
  <c r="B292" i="3"/>
  <c r="A292" i="3"/>
  <c r="G291" i="3"/>
  <c r="B291" i="3"/>
  <c r="A291" i="3"/>
  <c r="G290" i="3"/>
  <c r="B290" i="3"/>
  <c r="A290" i="3"/>
  <c r="G289" i="3"/>
  <c r="B289" i="3"/>
  <c r="A289" i="3"/>
  <c r="G288" i="3"/>
  <c r="B288" i="3"/>
  <c r="A288" i="3"/>
  <c r="E287" i="3"/>
  <c r="B287" i="3"/>
  <c r="A287" i="3"/>
  <c r="G286" i="3"/>
  <c r="B286" i="3"/>
  <c r="A286" i="3"/>
  <c r="G285" i="3"/>
  <c r="B285" i="3"/>
  <c r="A285" i="3"/>
  <c r="G284" i="3"/>
  <c r="B284" i="3"/>
  <c r="A284" i="3"/>
  <c r="G283" i="3"/>
  <c r="B283" i="3"/>
  <c r="A283" i="3"/>
  <c r="E282" i="3"/>
  <c r="B282" i="3"/>
  <c r="A282" i="3"/>
  <c r="G281" i="3"/>
  <c r="B281" i="3"/>
  <c r="A281" i="3"/>
  <c r="G280" i="3"/>
  <c r="B280" i="3"/>
  <c r="A280" i="3"/>
  <c r="G279" i="3"/>
  <c r="B279" i="3"/>
  <c r="A279" i="3"/>
  <c r="G278" i="3"/>
  <c r="B278" i="3"/>
  <c r="A278" i="3"/>
  <c r="E277" i="3"/>
  <c r="B277" i="3"/>
  <c r="A277" i="3"/>
  <c r="G276" i="3"/>
  <c r="B276" i="3"/>
  <c r="A276" i="3"/>
  <c r="G275" i="3"/>
  <c r="B275" i="3"/>
  <c r="A275" i="3"/>
  <c r="G274" i="3"/>
  <c r="B274" i="3"/>
  <c r="A274" i="3"/>
  <c r="G273" i="3"/>
  <c r="B273" i="3"/>
  <c r="A273" i="3"/>
  <c r="E272" i="3"/>
  <c r="B272" i="3"/>
  <c r="A272" i="3"/>
  <c r="G271" i="3"/>
  <c r="B271" i="3"/>
  <c r="A271" i="3"/>
  <c r="G270" i="3"/>
  <c r="B270" i="3"/>
  <c r="A270" i="3"/>
  <c r="G269" i="3"/>
  <c r="B269" i="3"/>
  <c r="A269" i="3"/>
  <c r="G268" i="3"/>
  <c r="B268" i="3"/>
  <c r="A268" i="3"/>
  <c r="E267" i="3"/>
  <c r="B267" i="3"/>
  <c r="A267" i="3"/>
  <c r="G266" i="3"/>
  <c r="B266" i="3"/>
  <c r="A266" i="3"/>
  <c r="G265" i="3"/>
  <c r="B265" i="3"/>
  <c r="A265" i="3"/>
  <c r="G264" i="3"/>
  <c r="B264" i="3"/>
  <c r="A264" i="3"/>
  <c r="G263" i="3"/>
  <c r="B263" i="3"/>
  <c r="A263" i="3"/>
  <c r="G262" i="3"/>
  <c r="B262" i="3"/>
  <c r="A262" i="3"/>
  <c r="G261" i="3"/>
  <c r="B261" i="3"/>
  <c r="A261" i="3"/>
  <c r="G260" i="3"/>
  <c r="B260" i="3"/>
  <c r="A260" i="3"/>
  <c r="G259" i="3"/>
  <c r="B259" i="3"/>
  <c r="A259" i="3"/>
  <c r="E258" i="3"/>
  <c r="B258" i="3"/>
  <c r="A258" i="3"/>
  <c r="G257" i="3"/>
  <c r="B257" i="3"/>
  <c r="A257" i="3"/>
  <c r="G256" i="3"/>
  <c r="B256" i="3"/>
  <c r="A256" i="3"/>
  <c r="G255" i="3"/>
  <c r="B255" i="3"/>
  <c r="A255" i="3"/>
  <c r="G254" i="3"/>
  <c r="B254" i="3"/>
  <c r="A254" i="3"/>
  <c r="G253" i="3"/>
  <c r="B253" i="3"/>
  <c r="A253" i="3"/>
  <c r="G252" i="3"/>
  <c r="B252" i="3"/>
  <c r="A252" i="3"/>
  <c r="G251" i="3"/>
  <c r="B251" i="3"/>
  <c r="A251" i="3"/>
  <c r="G250" i="3"/>
  <c r="B250" i="3"/>
  <c r="A250" i="3"/>
  <c r="E249" i="3"/>
  <c r="B249" i="3"/>
  <c r="A249" i="3"/>
  <c r="G248" i="3"/>
  <c r="B248" i="3"/>
  <c r="A248" i="3"/>
  <c r="G247" i="3"/>
  <c r="B247" i="3"/>
  <c r="A247" i="3"/>
  <c r="G246" i="3"/>
  <c r="B246" i="3"/>
  <c r="A246" i="3"/>
  <c r="G245" i="3"/>
  <c r="B245" i="3"/>
  <c r="A245" i="3"/>
  <c r="G244" i="3"/>
  <c r="B244" i="3"/>
  <c r="A244" i="3"/>
  <c r="G243" i="3"/>
  <c r="B243" i="3"/>
  <c r="A243" i="3"/>
  <c r="G242" i="3"/>
  <c r="B242" i="3"/>
  <c r="A242" i="3"/>
  <c r="G241" i="3"/>
  <c r="B241" i="3"/>
  <c r="A241" i="3"/>
  <c r="E240" i="3"/>
  <c r="B240" i="3"/>
  <c r="A240" i="3"/>
  <c r="G239" i="3"/>
  <c r="E239" i="3"/>
  <c r="B239" i="3"/>
  <c r="A239" i="3"/>
  <c r="G238" i="3"/>
  <c r="E238" i="3"/>
  <c r="B238" i="3"/>
  <c r="A238" i="3"/>
  <c r="G237" i="3"/>
  <c r="E237" i="3"/>
  <c r="B237" i="3"/>
  <c r="A237" i="3"/>
  <c r="G236" i="3"/>
  <c r="E236" i="3"/>
  <c r="B236" i="3"/>
  <c r="A236" i="3"/>
  <c r="G235" i="3"/>
  <c r="E235" i="3"/>
  <c r="B235" i="3"/>
  <c r="A235" i="3"/>
  <c r="G234" i="3"/>
  <c r="B234" i="3"/>
  <c r="A234" i="3"/>
  <c r="G233" i="3"/>
  <c r="B233" i="3"/>
  <c r="A233" i="3"/>
  <c r="E232" i="3"/>
  <c r="B232" i="3"/>
  <c r="A232" i="3"/>
  <c r="G231" i="3"/>
  <c r="E231" i="3"/>
  <c r="B231" i="3"/>
  <c r="A231" i="3"/>
  <c r="G230" i="3"/>
  <c r="E230" i="3"/>
  <c r="B230" i="3"/>
  <c r="A230" i="3"/>
  <c r="G229" i="3"/>
  <c r="E229" i="3"/>
  <c r="B229" i="3"/>
  <c r="A229" i="3"/>
  <c r="G228" i="3"/>
  <c r="B228" i="3"/>
  <c r="A228" i="3"/>
  <c r="G227" i="3"/>
  <c r="B227" i="3"/>
  <c r="A227" i="3"/>
  <c r="G226" i="3"/>
  <c r="B226" i="3"/>
  <c r="A226" i="3"/>
  <c r="G225" i="3"/>
  <c r="B225" i="3"/>
  <c r="A225" i="3"/>
  <c r="E224" i="3"/>
  <c r="B224" i="3"/>
  <c r="A224" i="3"/>
  <c r="G223" i="3"/>
  <c r="B223" i="3"/>
  <c r="A223" i="3"/>
  <c r="G222" i="3"/>
  <c r="B222" i="3"/>
  <c r="A222" i="3"/>
  <c r="G221" i="3"/>
  <c r="B221" i="3"/>
  <c r="A221" i="3"/>
  <c r="G220" i="3"/>
  <c r="B220" i="3"/>
  <c r="A220" i="3"/>
  <c r="E219" i="3"/>
  <c r="B219" i="3"/>
  <c r="A219" i="3"/>
  <c r="G218" i="3"/>
  <c r="B218" i="3"/>
  <c r="A218" i="3"/>
  <c r="G217" i="3"/>
  <c r="B217" i="3"/>
  <c r="A217" i="3"/>
  <c r="G216" i="3"/>
  <c r="B216" i="3"/>
  <c r="A216" i="3"/>
  <c r="G215" i="3"/>
  <c r="B215" i="3"/>
  <c r="A215" i="3"/>
  <c r="E214" i="3"/>
  <c r="B214" i="3"/>
  <c r="A214" i="3"/>
  <c r="G213" i="3"/>
  <c r="B213" i="3"/>
  <c r="A213" i="3"/>
  <c r="G212" i="3"/>
  <c r="B212" i="3"/>
  <c r="A212" i="3"/>
  <c r="G211" i="3"/>
  <c r="B211" i="3"/>
  <c r="A211" i="3"/>
  <c r="G210" i="3"/>
  <c r="B210" i="3"/>
  <c r="A210" i="3"/>
  <c r="E209" i="3"/>
  <c r="B209" i="3"/>
  <c r="A209" i="3"/>
  <c r="G208" i="3"/>
  <c r="B208" i="3"/>
  <c r="A208" i="3"/>
  <c r="G207" i="3"/>
  <c r="B207" i="3"/>
  <c r="A207" i="3"/>
  <c r="G206" i="3"/>
  <c r="B206" i="3"/>
  <c r="A206" i="3"/>
  <c r="G205" i="3"/>
  <c r="B205" i="3"/>
  <c r="A205" i="3"/>
  <c r="E204" i="3"/>
  <c r="B204" i="3"/>
  <c r="A204" i="3"/>
  <c r="G203" i="3"/>
  <c r="B203" i="3"/>
  <c r="A203" i="3"/>
  <c r="G202" i="3"/>
  <c r="B202" i="3"/>
  <c r="A202" i="3"/>
  <c r="G201" i="3"/>
  <c r="B201" i="3"/>
  <c r="A201" i="3"/>
  <c r="G200" i="3"/>
  <c r="B200" i="3"/>
  <c r="A200" i="3"/>
  <c r="E199" i="3"/>
  <c r="B199" i="3"/>
  <c r="A199" i="3"/>
  <c r="G198" i="3"/>
  <c r="B198" i="3"/>
  <c r="A198" i="3"/>
  <c r="G197" i="3"/>
  <c r="B197" i="3"/>
  <c r="A197" i="3"/>
  <c r="G196" i="3"/>
  <c r="B196" i="3"/>
  <c r="A196" i="3"/>
  <c r="G195" i="3"/>
  <c r="B195" i="3"/>
  <c r="A195" i="3"/>
  <c r="E194" i="3"/>
  <c r="B194" i="3"/>
  <c r="A194" i="3"/>
  <c r="G193" i="3"/>
  <c r="B193" i="3"/>
  <c r="A193" i="3"/>
  <c r="G192" i="3"/>
  <c r="B192" i="3"/>
  <c r="A192" i="3"/>
  <c r="G191" i="3"/>
  <c r="B191" i="3"/>
  <c r="A191" i="3"/>
  <c r="G190" i="3"/>
  <c r="B190" i="3"/>
  <c r="A190" i="3"/>
  <c r="E189" i="3"/>
  <c r="B189" i="3"/>
  <c r="A189" i="3"/>
  <c r="G188" i="3"/>
  <c r="B188" i="3"/>
  <c r="A188" i="3"/>
  <c r="G187" i="3"/>
  <c r="B187" i="3"/>
  <c r="A187" i="3"/>
  <c r="G186" i="3"/>
  <c r="B186" i="3"/>
  <c r="A186" i="3"/>
  <c r="G185" i="3"/>
  <c r="B185" i="3"/>
  <c r="A185" i="3"/>
  <c r="E184" i="3"/>
  <c r="B184" i="3"/>
  <c r="A184" i="3"/>
  <c r="G183" i="3"/>
  <c r="B183" i="3"/>
  <c r="A183" i="3"/>
  <c r="G182" i="3"/>
  <c r="B182" i="3"/>
  <c r="A182" i="3"/>
  <c r="E181" i="3"/>
  <c r="B181" i="3"/>
  <c r="A181" i="3"/>
  <c r="G180" i="3"/>
  <c r="B180" i="3"/>
  <c r="A180" i="3"/>
  <c r="G179" i="3"/>
  <c r="B179" i="3"/>
  <c r="A179" i="3"/>
  <c r="E178" i="3"/>
  <c r="B178" i="3"/>
  <c r="A178" i="3"/>
  <c r="G177" i="3"/>
  <c r="B177" i="3"/>
  <c r="A177" i="3"/>
  <c r="G176" i="3"/>
  <c r="B176" i="3"/>
  <c r="A176" i="3"/>
  <c r="E175" i="3"/>
  <c r="B175" i="3"/>
  <c r="A175" i="3"/>
  <c r="G174" i="3"/>
  <c r="B174" i="3"/>
  <c r="A174" i="3"/>
  <c r="G173" i="3"/>
  <c r="B173" i="3"/>
  <c r="A173" i="3"/>
  <c r="E172" i="3"/>
  <c r="B172" i="3"/>
  <c r="A172" i="3"/>
  <c r="G171" i="3"/>
  <c r="B171" i="3"/>
  <c r="A171" i="3"/>
  <c r="G170" i="3"/>
  <c r="B170" i="3"/>
  <c r="A170" i="3"/>
  <c r="E169" i="3"/>
  <c r="B169" i="3"/>
  <c r="A169" i="3"/>
  <c r="G168" i="3"/>
  <c r="B168" i="3"/>
  <c r="A168" i="3"/>
  <c r="G167" i="3"/>
  <c r="B167" i="3"/>
  <c r="A167" i="3"/>
  <c r="E166" i="3"/>
  <c r="B166" i="3"/>
  <c r="A166" i="3"/>
  <c r="G165" i="3"/>
  <c r="B165" i="3"/>
  <c r="A165" i="3"/>
  <c r="G164" i="3"/>
  <c r="B164" i="3"/>
  <c r="A164" i="3"/>
  <c r="E163" i="3"/>
  <c r="B163" i="3"/>
  <c r="A163" i="3"/>
  <c r="G162" i="3"/>
  <c r="B162" i="3"/>
  <c r="A162" i="3"/>
  <c r="G161" i="3"/>
  <c r="B161" i="3"/>
  <c r="A161" i="3"/>
  <c r="E160" i="3"/>
  <c r="B160" i="3"/>
  <c r="A160" i="3"/>
  <c r="G159" i="3"/>
  <c r="B159" i="3"/>
  <c r="A159" i="3"/>
  <c r="G158" i="3"/>
  <c r="B158" i="3"/>
  <c r="A158" i="3"/>
  <c r="E157" i="3"/>
  <c r="B157" i="3"/>
  <c r="A157" i="3"/>
  <c r="G156" i="3"/>
  <c r="B156" i="3"/>
  <c r="A156" i="3"/>
  <c r="G155" i="3"/>
  <c r="B155" i="3"/>
  <c r="A155" i="3"/>
  <c r="E154" i="3"/>
  <c r="B154" i="3"/>
  <c r="A154" i="3"/>
  <c r="G153" i="3"/>
  <c r="B153" i="3"/>
  <c r="A153" i="3"/>
  <c r="G152" i="3"/>
  <c r="B152" i="3"/>
  <c r="A152" i="3"/>
  <c r="E151" i="3"/>
  <c r="B151" i="3"/>
  <c r="A151" i="3"/>
  <c r="G150" i="3"/>
  <c r="B150" i="3"/>
  <c r="A150" i="3"/>
  <c r="G149" i="3"/>
  <c r="B149" i="3"/>
  <c r="A149" i="3"/>
  <c r="E148" i="3"/>
  <c r="B148" i="3"/>
  <c r="A148" i="3"/>
  <c r="G147" i="3"/>
  <c r="B147" i="3"/>
  <c r="A147" i="3"/>
  <c r="G146" i="3"/>
  <c r="B146" i="3"/>
  <c r="A146" i="3"/>
  <c r="E145" i="3"/>
  <c r="B145" i="3"/>
  <c r="A145" i="3"/>
  <c r="G144" i="3"/>
  <c r="B144" i="3"/>
  <c r="A144" i="3"/>
  <c r="G143" i="3"/>
  <c r="B143" i="3"/>
  <c r="A143" i="3"/>
  <c r="E142" i="3"/>
  <c r="B142" i="3"/>
  <c r="A142" i="3"/>
  <c r="G141" i="3"/>
  <c r="B141" i="3"/>
  <c r="A141" i="3"/>
  <c r="G140" i="3"/>
  <c r="B140" i="3"/>
  <c r="A140" i="3"/>
  <c r="E139" i="3"/>
  <c r="B139" i="3"/>
  <c r="A139" i="3"/>
  <c r="G138" i="3"/>
  <c r="B138" i="3"/>
  <c r="A138" i="3"/>
  <c r="G137" i="3"/>
  <c r="B137" i="3"/>
  <c r="A137" i="3"/>
  <c r="E136" i="3"/>
  <c r="B136" i="3"/>
  <c r="A136" i="3"/>
  <c r="G135" i="3"/>
  <c r="B135" i="3"/>
  <c r="A135" i="3"/>
  <c r="G134" i="3"/>
  <c r="B134" i="3"/>
  <c r="A134" i="3"/>
  <c r="E133" i="3"/>
  <c r="B133" i="3"/>
  <c r="A133" i="3"/>
  <c r="G132" i="3"/>
  <c r="B132" i="3"/>
  <c r="A132" i="3"/>
  <c r="G131" i="3"/>
  <c r="B131" i="3"/>
  <c r="A131" i="3"/>
  <c r="E130" i="3"/>
  <c r="B130" i="3"/>
  <c r="A130" i="3"/>
  <c r="G129" i="3"/>
  <c r="B129" i="3"/>
  <c r="A129" i="3"/>
  <c r="G128" i="3"/>
  <c r="B128" i="3"/>
  <c r="A128" i="3"/>
  <c r="E127" i="3"/>
  <c r="B127" i="3"/>
  <c r="A127" i="3"/>
  <c r="G126" i="3"/>
  <c r="B126" i="3"/>
  <c r="A126" i="3"/>
  <c r="G125" i="3"/>
  <c r="B125" i="3"/>
  <c r="A125" i="3"/>
  <c r="E124" i="3"/>
  <c r="B124" i="3"/>
  <c r="A124" i="3"/>
  <c r="G123" i="3"/>
  <c r="B123" i="3"/>
  <c r="A123" i="3"/>
  <c r="G122" i="3"/>
  <c r="B122" i="3"/>
  <c r="A122" i="3"/>
  <c r="E121" i="3"/>
  <c r="B121" i="3"/>
  <c r="A121" i="3"/>
  <c r="G120" i="3"/>
  <c r="B120" i="3"/>
  <c r="A120" i="3"/>
  <c r="G119" i="3"/>
  <c r="B119" i="3"/>
  <c r="A119" i="3"/>
  <c r="E118" i="3"/>
  <c r="B118" i="3"/>
  <c r="A118" i="3"/>
  <c r="G117" i="3"/>
  <c r="B117" i="3"/>
  <c r="A117" i="3"/>
  <c r="G116" i="3"/>
  <c r="B116" i="3"/>
  <c r="A116" i="3"/>
  <c r="E115" i="3"/>
  <c r="B115" i="3"/>
  <c r="A115" i="3"/>
  <c r="G114" i="3"/>
  <c r="B114" i="3"/>
  <c r="A114" i="3"/>
  <c r="G113" i="3"/>
  <c r="B113" i="3"/>
  <c r="A113" i="3"/>
  <c r="E112" i="3"/>
  <c r="B112" i="3"/>
  <c r="A112" i="3"/>
  <c r="G111" i="3"/>
  <c r="B111" i="3"/>
  <c r="A111" i="3"/>
  <c r="G110" i="3"/>
  <c r="B110" i="3"/>
  <c r="A110" i="3"/>
  <c r="E109" i="3"/>
  <c r="B109" i="3"/>
  <c r="A109" i="3"/>
  <c r="G108" i="3"/>
  <c r="B108" i="3"/>
  <c r="A108" i="3"/>
  <c r="G107" i="3"/>
  <c r="B107" i="3"/>
  <c r="A107" i="3"/>
  <c r="G106" i="3"/>
  <c r="B106" i="3"/>
  <c r="A106" i="3"/>
  <c r="E105" i="3"/>
  <c r="B105" i="3"/>
  <c r="A105" i="3"/>
  <c r="G104" i="3"/>
  <c r="B104" i="3"/>
  <c r="A104" i="3"/>
  <c r="G103" i="3"/>
  <c r="B103" i="3"/>
  <c r="A103" i="3"/>
  <c r="G102" i="3"/>
  <c r="B102" i="3"/>
  <c r="A102" i="3"/>
  <c r="E101" i="3"/>
  <c r="B101" i="3"/>
  <c r="A101" i="3"/>
  <c r="G100" i="3"/>
  <c r="B100" i="3"/>
  <c r="A100" i="3"/>
  <c r="G99" i="3"/>
  <c r="B99" i="3"/>
  <c r="A99" i="3"/>
  <c r="G98" i="3"/>
  <c r="B98" i="3"/>
  <c r="A98" i="3"/>
  <c r="E97" i="3"/>
  <c r="B97" i="3"/>
  <c r="A97" i="3"/>
  <c r="G96" i="3"/>
  <c r="B96" i="3"/>
  <c r="A96" i="3"/>
  <c r="G95" i="3"/>
  <c r="B95" i="3"/>
  <c r="A95" i="3"/>
  <c r="G94" i="3"/>
  <c r="B94" i="3"/>
  <c r="A94" i="3"/>
  <c r="E93" i="3"/>
  <c r="B93" i="3"/>
  <c r="A93" i="3"/>
  <c r="G92" i="3"/>
  <c r="B92" i="3"/>
  <c r="A92" i="3"/>
  <c r="G91" i="3"/>
  <c r="B91" i="3"/>
  <c r="A91" i="3"/>
  <c r="G90" i="3"/>
  <c r="B90" i="3"/>
  <c r="A90" i="3"/>
  <c r="E89" i="3"/>
  <c r="B89" i="3"/>
  <c r="A89" i="3"/>
  <c r="G88" i="3"/>
  <c r="B88" i="3"/>
  <c r="A88" i="3"/>
  <c r="G87" i="3"/>
  <c r="B87" i="3"/>
  <c r="A87" i="3"/>
  <c r="G86" i="3"/>
  <c r="B86" i="3"/>
  <c r="A86" i="3"/>
  <c r="E85" i="3"/>
  <c r="B85" i="3"/>
  <c r="A85" i="3"/>
  <c r="G84" i="3"/>
  <c r="B84" i="3"/>
  <c r="A84" i="3"/>
  <c r="G83" i="3"/>
  <c r="B83" i="3"/>
  <c r="A83" i="3"/>
  <c r="G82" i="3"/>
  <c r="B82" i="3"/>
  <c r="A82" i="3"/>
  <c r="E81" i="3"/>
  <c r="B81" i="3"/>
  <c r="A81" i="3"/>
  <c r="G80" i="3"/>
  <c r="B80" i="3"/>
  <c r="A80" i="3"/>
  <c r="G79" i="3"/>
  <c r="B79" i="3"/>
  <c r="A79" i="3"/>
  <c r="G78" i="3"/>
  <c r="B78" i="3"/>
  <c r="A78" i="3"/>
  <c r="E77" i="3"/>
  <c r="B77" i="3"/>
  <c r="A77" i="3"/>
  <c r="G76" i="3"/>
  <c r="B76" i="3"/>
  <c r="A76" i="3"/>
  <c r="G75" i="3"/>
  <c r="B75" i="3"/>
  <c r="A75" i="3"/>
  <c r="G74" i="3"/>
  <c r="B74" i="3"/>
  <c r="A74" i="3"/>
  <c r="E73" i="3"/>
  <c r="B73" i="3"/>
  <c r="A73" i="3"/>
  <c r="G72" i="3"/>
  <c r="B72" i="3"/>
  <c r="A72" i="3"/>
  <c r="G71" i="3"/>
  <c r="B71" i="3"/>
  <c r="A71" i="3"/>
  <c r="G70" i="3"/>
  <c r="B70" i="3"/>
  <c r="A70" i="3"/>
  <c r="E69" i="3"/>
  <c r="B69" i="3"/>
  <c r="A69" i="3"/>
  <c r="G68" i="3"/>
  <c r="B68" i="3"/>
  <c r="A68" i="3"/>
  <c r="G67" i="3"/>
  <c r="B67" i="3"/>
  <c r="A67" i="3"/>
  <c r="G66" i="3"/>
  <c r="B66" i="3"/>
  <c r="A66" i="3"/>
  <c r="E65" i="3"/>
  <c r="B65" i="3"/>
  <c r="A65" i="3"/>
  <c r="G64" i="3"/>
  <c r="B64" i="3"/>
  <c r="A64" i="3"/>
  <c r="G63" i="3"/>
  <c r="B63" i="3"/>
  <c r="A63" i="3"/>
  <c r="G62" i="3"/>
  <c r="B62" i="3"/>
  <c r="A62" i="3"/>
  <c r="E61" i="3"/>
  <c r="B61" i="3"/>
  <c r="A61" i="3"/>
  <c r="G60" i="3"/>
  <c r="B60" i="3"/>
  <c r="A60" i="3"/>
  <c r="G59" i="3"/>
  <c r="B59" i="3"/>
  <c r="A59" i="3"/>
  <c r="G58" i="3"/>
  <c r="B58" i="3"/>
  <c r="A58" i="3"/>
  <c r="E57" i="3"/>
  <c r="B57" i="3"/>
  <c r="A57" i="3"/>
  <c r="G56" i="3"/>
  <c r="B56" i="3"/>
  <c r="A56" i="3"/>
  <c r="G55" i="3"/>
  <c r="B55" i="3"/>
  <c r="A55" i="3"/>
  <c r="G54" i="3"/>
  <c r="B54" i="3"/>
  <c r="A54" i="3"/>
  <c r="E53" i="3"/>
  <c r="B53" i="3"/>
  <c r="A53" i="3"/>
  <c r="G52" i="3"/>
  <c r="B52" i="3"/>
  <c r="A52" i="3"/>
  <c r="G51" i="3"/>
  <c r="B51" i="3"/>
  <c r="A51" i="3"/>
  <c r="G50" i="3"/>
  <c r="B50" i="3"/>
  <c r="A50" i="3"/>
  <c r="E49" i="3"/>
  <c r="B49" i="3"/>
  <c r="A49" i="3"/>
  <c r="G48" i="3"/>
  <c r="B48" i="3"/>
  <c r="A48" i="3"/>
  <c r="G47" i="3"/>
  <c r="B47" i="3"/>
  <c r="A47" i="3"/>
  <c r="G46" i="3"/>
  <c r="B46" i="3"/>
  <c r="A46" i="3"/>
  <c r="E45" i="3"/>
  <c r="B45" i="3"/>
  <c r="A45" i="3"/>
  <c r="G44" i="3"/>
  <c r="B44" i="3"/>
  <c r="A44" i="3"/>
  <c r="G43" i="3"/>
  <c r="B43" i="3"/>
  <c r="A43" i="3"/>
  <c r="G42" i="3"/>
  <c r="B42" i="3"/>
  <c r="A42" i="3"/>
  <c r="E41" i="3"/>
  <c r="B41" i="3"/>
  <c r="A41" i="3"/>
  <c r="G40" i="3"/>
  <c r="B40" i="3"/>
  <c r="A40" i="3"/>
  <c r="G39" i="3"/>
  <c r="B39" i="3"/>
  <c r="A39" i="3"/>
  <c r="G38" i="3"/>
  <c r="B38" i="3"/>
  <c r="A38" i="3"/>
  <c r="E37" i="3"/>
  <c r="B37" i="3"/>
  <c r="A37" i="3"/>
  <c r="G36" i="3"/>
  <c r="B36" i="3"/>
  <c r="A36" i="3"/>
  <c r="G35" i="3"/>
  <c r="B35" i="3"/>
  <c r="A35" i="3"/>
  <c r="G34" i="3"/>
  <c r="B34" i="3"/>
  <c r="A34" i="3"/>
  <c r="E33" i="3"/>
  <c r="B33" i="3"/>
  <c r="A33" i="3"/>
  <c r="G32" i="3"/>
  <c r="B32" i="3"/>
  <c r="A32" i="3"/>
  <c r="G31" i="3"/>
  <c r="B31" i="3"/>
  <c r="A31" i="3"/>
  <c r="G30" i="3"/>
  <c r="B30" i="3"/>
  <c r="A30" i="3"/>
  <c r="E29" i="3"/>
  <c r="B29" i="3"/>
  <c r="A29" i="3"/>
  <c r="G28" i="3"/>
  <c r="B28" i="3"/>
  <c r="A28" i="3"/>
  <c r="G27" i="3"/>
  <c r="B27" i="3"/>
  <c r="A27" i="3"/>
  <c r="G26" i="3"/>
  <c r="B26" i="3"/>
  <c r="A26" i="3"/>
  <c r="E25" i="3"/>
  <c r="B25" i="3"/>
  <c r="A25" i="3"/>
  <c r="G24" i="3"/>
  <c r="B24" i="3"/>
  <c r="A24" i="3"/>
  <c r="G23" i="3"/>
  <c r="B23" i="3"/>
  <c r="A23" i="3"/>
  <c r="G22" i="3"/>
  <c r="B22" i="3"/>
  <c r="A22" i="3"/>
  <c r="E21" i="3"/>
  <c r="B21" i="3"/>
  <c r="A21" i="3"/>
  <c r="G20" i="3"/>
  <c r="E20" i="3"/>
  <c r="B20" i="3"/>
  <c r="A20" i="3"/>
  <c r="G19" i="3"/>
  <c r="E19" i="3"/>
  <c r="B19" i="3"/>
  <c r="A19" i="3"/>
  <c r="G18" i="3"/>
  <c r="E18" i="3"/>
  <c r="B18" i="3"/>
  <c r="A18" i="3"/>
  <c r="G17" i="3"/>
  <c r="E17" i="3"/>
  <c r="B17" i="3"/>
  <c r="A17" i="3"/>
  <c r="G16" i="3"/>
  <c r="E16" i="3"/>
  <c r="B16" i="3"/>
  <c r="A16" i="3"/>
  <c r="G15" i="3"/>
  <c r="E15" i="3"/>
  <c r="B15" i="3"/>
  <c r="A15" i="3"/>
  <c r="G14" i="3"/>
  <c r="E14" i="3"/>
  <c r="B14" i="3"/>
  <c r="A14" i="3"/>
  <c r="G13" i="3"/>
  <c r="E13" i="3"/>
  <c r="B13" i="3"/>
  <c r="A13" i="3"/>
  <c r="G12" i="3"/>
  <c r="E12" i="3"/>
  <c r="B12" i="3"/>
  <c r="A12" i="3"/>
  <c r="G11" i="3"/>
  <c r="E11" i="3"/>
  <c r="B11" i="3"/>
  <c r="A11" i="3"/>
  <c r="G10" i="3"/>
  <c r="E10" i="3"/>
  <c r="B10" i="3"/>
  <c r="A10" i="3"/>
  <c r="G9" i="3"/>
  <c r="E9" i="3"/>
  <c r="B9" i="3"/>
  <c r="A9" i="3"/>
  <c r="G8" i="3"/>
  <c r="E8" i="3"/>
  <c r="B8" i="3"/>
  <c r="A8" i="3"/>
  <c r="E1202" i="2"/>
  <c r="B1202" i="2"/>
  <c r="A1202" i="2"/>
  <c r="E1201" i="2"/>
  <c r="B1201" i="2"/>
  <c r="A1201" i="2"/>
  <c r="E1200" i="2"/>
  <c r="B1200" i="2"/>
  <c r="A1200" i="2"/>
  <c r="E1199" i="2"/>
  <c r="B1199" i="2"/>
  <c r="A1199" i="2"/>
  <c r="E1198" i="2"/>
  <c r="B1198" i="2"/>
  <c r="A1198" i="2"/>
  <c r="E1197" i="2"/>
  <c r="B1197" i="2"/>
  <c r="A1197" i="2"/>
  <c r="E1196" i="2"/>
  <c r="B1196" i="2"/>
  <c r="A1196" i="2"/>
  <c r="E1193" i="2"/>
  <c r="B1193" i="2"/>
  <c r="A1193" i="2"/>
  <c r="B1195" i="2"/>
  <c r="A1195" i="2"/>
  <c r="B1194" i="2"/>
  <c r="A1194" i="2"/>
  <c r="E1192" i="2"/>
  <c r="B1192" i="2"/>
  <c r="A1192" i="2"/>
  <c r="E1191" i="2"/>
  <c r="B1191" i="2"/>
  <c r="A1191" i="2"/>
  <c r="E1190" i="2"/>
  <c r="B1190" i="2"/>
  <c r="A1190" i="2"/>
  <c r="E1189" i="2"/>
  <c r="B1189" i="2"/>
  <c r="A1189" i="2"/>
  <c r="E1188" i="2"/>
  <c r="B1188" i="2"/>
  <c r="A1188" i="2"/>
  <c r="E1187" i="2"/>
  <c r="B1187" i="2"/>
  <c r="A1187" i="2"/>
  <c r="E1186" i="2"/>
  <c r="B1186" i="2"/>
  <c r="A1186" i="2"/>
  <c r="E1185" i="2"/>
  <c r="B1185" i="2"/>
  <c r="A1185" i="2"/>
  <c r="E1184" i="2"/>
  <c r="B1184" i="2"/>
  <c r="A1184" i="2"/>
  <c r="E1183" i="2"/>
  <c r="B1183" i="2"/>
  <c r="A1183" i="2"/>
  <c r="E1182" i="2"/>
  <c r="B1182" i="2"/>
  <c r="A1182" i="2"/>
  <c r="E1181" i="2"/>
  <c r="B1181" i="2"/>
  <c r="A1181" i="2"/>
  <c r="B1180" i="2"/>
  <c r="A1180" i="2"/>
  <c r="E1179" i="2"/>
  <c r="B1179" i="2"/>
  <c r="A1179" i="2"/>
  <c r="E1178" i="2"/>
  <c r="B1178" i="2"/>
  <c r="A1178" i="2"/>
  <c r="E1177" i="2"/>
  <c r="B1177" i="2"/>
  <c r="A1177" i="2"/>
  <c r="E1176" i="2"/>
  <c r="B1176" i="2"/>
  <c r="A1176" i="2"/>
  <c r="E1175" i="2"/>
  <c r="B1175" i="2"/>
  <c r="A1175" i="2"/>
  <c r="E1174" i="2"/>
  <c r="B1174" i="2"/>
  <c r="A1174" i="2"/>
  <c r="E1173" i="2"/>
  <c r="B1173" i="2"/>
  <c r="A1173" i="2"/>
  <c r="E1172" i="2"/>
  <c r="B1172" i="2"/>
  <c r="A1172" i="2"/>
  <c r="E1171" i="2"/>
  <c r="B1171" i="2"/>
  <c r="A1171" i="2"/>
  <c r="E1170" i="2"/>
  <c r="B1170" i="2"/>
  <c r="A1170" i="2"/>
  <c r="E1169" i="2"/>
  <c r="B1169" i="2"/>
  <c r="A1169" i="2"/>
  <c r="E1168" i="2"/>
  <c r="B1168" i="2"/>
  <c r="A1168" i="2"/>
  <c r="E1167" i="2"/>
  <c r="B1167" i="2"/>
  <c r="A1167" i="2"/>
  <c r="E1166" i="2"/>
  <c r="B1166" i="2"/>
  <c r="A1166" i="2"/>
  <c r="E1165" i="2"/>
  <c r="B1165" i="2"/>
  <c r="A1165" i="2"/>
  <c r="E1164" i="2"/>
  <c r="B1164" i="2"/>
  <c r="A1164" i="2"/>
  <c r="E1163" i="2"/>
  <c r="B1163" i="2"/>
  <c r="A1163" i="2"/>
  <c r="E1162" i="2"/>
  <c r="B1162" i="2"/>
  <c r="A1162" i="2"/>
  <c r="E1161" i="2"/>
  <c r="B1161" i="2"/>
  <c r="A1161" i="2"/>
  <c r="E1160" i="2"/>
  <c r="B1160" i="2"/>
  <c r="A1160" i="2"/>
  <c r="E1159" i="2"/>
  <c r="B1159" i="2"/>
  <c r="A1159" i="2"/>
  <c r="E1158" i="2"/>
  <c r="B1158" i="2"/>
  <c r="A1158" i="2"/>
  <c r="E1157" i="2"/>
  <c r="B1157" i="2"/>
  <c r="A1157" i="2"/>
  <c r="E1156" i="2"/>
  <c r="B1156" i="2"/>
  <c r="A1156" i="2"/>
  <c r="E1155" i="2"/>
  <c r="B1155" i="2"/>
  <c r="A1155" i="2"/>
  <c r="E1152" i="2"/>
  <c r="B1152" i="2"/>
  <c r="A1152" i="2"/>
  <c r="B1154" i="2"/>
  <c r="A1154" i="2"/>
  <c r="B1153" i="2"/>
  <c r="A1153" i="2"/>
  <c r="E1151" i="2"/>
  <c r="B1151" i="2"/>
  <c r="A1151" i="2"/>
  <c r="E1150" i="2"/>
  <c r="B1150" i="2"/>
  <c r="A1150" i="2"/>
  <c r="E1149" i="2"/>
  <c r="B1149" i="2"/>
  <c r="A1149" i="2"/>
  <c r="E1148" i="2"/>
  <c r="B1148" i="2"/>
  <c r="A1148" i="2"/>
  <c r="E1147" i="2"/>
  <c r="B1147" i="2"/>
  <c r="A1147" i="2"/>
  <c r="E1146" i="2"/>
  <c r="B1146" i="2"/>
  <c r="A1146" i="2"/>
  <c r="E1145" i="2"/>
  <c r="B1145" i="2"/>
  <c r="A1145" i="2"/>
  <c r="E1144" i="2"/>
  <c r="B1144" i="2"/>
  <c r="A1144" i="2"/>
  <c r="E1143" i="2"/>
  <c r="B1143" i="2"/>
  <c r="A1143" i="2"/>
  <c r="E1142" i="2"/>
  <c r="B1142" i="2"/>
  <c r="A1142" i="2"/>
  <c r="E1141" i="2"/>
  <c r="B1141" i="2"/>
  <c r="A1141" i="2"/>
  <c r="E1140" i="2"/>
  <c r="B1140" i="2"/>
  <c r="A1140" i="2"/>
  <c r="E1139" i="2"/>
  <c r="B1139" i="2"/>
  <c r="A1139" i="2"/>
  <c r="E1138" i="2"/>
  <c r="B1138" i="2"/>
  <c r="A1138" i="2"/>
  <c r="E1137" i="2"/>
  <c r="B1137" i="2"/>
  <c r="A1137" i="2"/>
  <c r="E1136" i="2"/>
  <c r="B1136" i="2"/>
  <c r="A1136" i="2"/>
  <c r="E1135" i="2"/>
  <c r="B1135" i="2"/>
  <c r="A1135" i="2"/>
  <c r="E1134" i="2"/>
  <c r="B1134" i="2"/>
  <c r="A1134" i="2"/>
  <c r="E1133" i="2"/>
  <c r="B1133" i="2"/>
  <c r="A1133" i="2"/>
  <c r="E1132" i="2"/>
  <c r="B1132" i="2"/>
  <c r="A1132" i="2"/>
  <c r="E1131" i="2"/>
  <c r="B1131" i="2"/>
  <c r="A1131" i="2"/>
  <c r="E1130" i="2"/>
  <c r="B1130" i="2"/>
  <c r="A1130" i="2"/>
  <c r="E1129" i="2"/>
  <c r="B1129" i="2"/>
  <c r="A1129" i="2"/>
  <c r="E1128" i="2"/>
  <c r="B1128" i="2"/>
  <c r="A1128" i="2"/>
  <c r="B1127" i="2"/>
  <c r="A1127" i="2"/>
  <c r="E1126" i="2"/>
  <c r="B1126" i="2"/>
  <c r="A1126" i="2"/>
  <c r="E1125" i="2"/>
  <c r="B1125" i="2"/>
  <c r="A1125" i="2"/>
  <c r="E1124" i="2"/>
  <c r="B1124" i="2"/>
  <c r="A1124" i="2"/>
  <c r="E1121" i="2"/>
  <c r="B1121" i="2"/>
  <c r="A1121" i="2"/>
  <c r="B1123" i="2"/>
  <c r="A1123" i="2"/>
  <c r="B1122" i="2"/>
  <c r="A1122" i="2"/>
  <c r="E1120" i="2"/>
  <c r="B1120" i="2"/>
  <c r="A1120" i="2"/>
  <c r="E1119" i="2"/>
  <c r="B1119" i="2"/>
  <c r="A1119" i="2"/>
  <c r="E1118" i="2"/>
  <c r="B1118" i="2"/>
  <c r="A1118" i="2"/>
  <c r="E1117" i="2"/>
  <c r="B1117" i="2"/>
  <c r="A1117" i="2"/>
  <c r="E1116" i="2"/>
  <c r="B1116" i="2"/>
  <c r="A1116" i="2"/>
  <c r="E1115" i="2"/>
  <c r="B1115" i="2"/>
  <c r="A1115" i="2"/>
  <c r="E1114" i="2"/>
  <c r="B1114" i="2"/>
  <c r="A1114" i="2"/>
  <c r="E1113" i="2"/>
  <c r="B1113" i="2"/>
  <c r="A1113" i="2"/>
  <c r="E1112" i="2"/>
  <c r="B1112" i="2"/>
  <c r="A1112" i="2"/>
  <c r="E1111" i="2"/>
  <c r="B1111" i="2"/>
  <c r="A1111" i="2"/>
  <c r="E1110" i="2"/>
  <c r="B1110" i="2"/>
  <c r="A1110" i="2"/>
  <c r="E1109" i="2"/>
  <c r="B1109" i="2"/>
  <c r="A1109" i="2"/>
  <c r="E1108" i="2"/>
  <c r="B1108" i="2"/>
  <c r="A1108" i="2"/>
  <c r="E1105" i="2"/>
  <c r="B1105" i="2"/>
  <c r="A1105" i="2"/>
  <c r="B1107" i="2"/>
  <c r="A1107" i="2"/>
  <c r="B1106" i="2"/>
  <c r="A1106" i="2"/>
  <c r="E1104" i="2"/>
  <c r="B1104" i="2"/>
  <c r="A1104" i="2"/>
  <c r="E1103" i="2"/>
  <c r="B1103" i="2"/>
  <c r="A1103" i="2"/>
  <c r="E1102" i="2"/>
  <c r="B1102" i="2"/>
  <c r="A1102" i="2"/>
  <c r="E1101" i="2"/>
  <c r="B1101" i="2"/>
  <c r="A1101" i="2"/>
  <c r="E1100" i="2"/>
  <c r="B1100" i="2"/>
  <c r="A1100" i="2"/>
  <c r="E1099" i="2"/>
  <c r="B1099" i="2"/>
  <c r="A1099" i="2"/>
  <c r="E1098" i="2"/>
  <c r="B1098" i="2"/>
  <c r="A1098" i="2"/>
  <c r="E1097" i="2"/>
  <c r="B1097" i="2"/>
  <c r="A1097" i="2"/>
  <c r="E1096" i="2"/>
  <c r="B1096" i="2"/>
  <c r="A1096" i="2"/>
  <c r="E1095" i="2"/>
  <c r="B1095" i="2"/>
  <c r="A1095" i="2"/>
  <c r="B1092" i="2"/>
  <c r="A1092" i="2"/>
  <c r="B1094" i="2"/>
  <c r="A1094" i="2"/>
  <c r="B1093" i="2"/>
  <c r="A1093" i="2"/>
  <c r="E1091" i="2"/>
  <c r="B1091" i="2"/>
  <c r="A1091" i="2"/>
  <c r="E1090" i="2"/>
  <c r="B1090" i="2"/>
  <c r="A1090" i="2"/>
  <c r="E1089" i="2"/>
  <c r="B1089" i="2"/>
  <c r="A1089" i="2"/>
  <c r="E1088" i="2"/>
  <c r="B1088" i="2"/>
  <c r="A1088" i="2"/>
  <c r="E1087" i="2"/>
  <c r="B1087" i="2"/>
  <c r="A1087" i="2"/>
  <c r="E1086" i="2"/>
  <c r="B1086" i="2"/>
  <c r="A1086" i="2"/>
  <c r="E1085" i="2"/>
  <c r="B1085" i="2"/>
  <c r="A1085" i="2"/>
  <c r="E1084" i="2"/>
  <c r="B1084" i="2"/>
  <c r="A1084" i="2"/>
  <c r="E1083" i="2"/>
  <c r="B1083" i="2"/>
  <c r="A1083" i="2"/>
  <c r="E1082" i="2"/>
  <c r="B1082" i="2"/>
  <c r="A1082" i="2"/>
  <c r="E1081" i="2"/>
  <c r="B1081" i="2"/>
  <c r="A1081" i="2"/>
  <c r="E1078" i="2"/>
  <c r="B1078" i="2"/>
  <c r="A1078" i="2"/>
  <c r="B1080" i="2"/>
  <c r="A1080" i="2"/>
  <c r="B1079" i="2"/>
  <c r="A1079" i="2"/>
  <c r="E1077" i="2"/>
  <c r="B1077" i="2"/>
  <c r="A1077" i="2"/>
  <c r="E1076" i="2"/>
  <c r="B1076" i="2"/>
  <c r="A1076" i="2"/>
  <c r="E1075" i="2"/>
  <c r="B1075" i="2"/>
  <c r="A1075" i="2"/>
  <c r="E1074" i="2"/>
  <c r="B1074" i="2"/>
  <c r="A1074" i="2"/>
  <c r="E1073" i="2"/>
  <c r="B1073" i="2"/>
  <c r="A1073" i="2"/>
  <c r="E1072" i="2"/>
  <c r="B1072" i="2"/>
  <c r="A1072" i="2"/>
  <c r="E1071" i="2"/>
  <c r="B1071" i="2"/>
  <c r="A1071" i="2"/>
  <c r="E1070" i="2"/>
  <c r="B1070" i="2"/>
  <c r="A1070" i="2"/>
  <c r="E1069" i="2"/>
  <c r="B1069" i="2"/>
  <c r="A1069" i="2"/>
  <c r="E1068" i="2"/>
  <c r="B1068" i="2"/>
  <c r="A1068" i="2"/>
  <c r="E1067" i="2"/>
  <c r="B1067" i="2"/>
  <c r="A1067" i="2"/>
  <c r="E1066" i="2"/>
  <c r="B1066" i="2"/>
  <c r="A1066" i="2"/>
  <c r="E1065" i="2"/>
  <c r="B1065" i="2"/>
  <c r="A1065" i="2"/>
  <c r="E1064" i="2"/>
  <c r="B1064" i="2"/>
  <c r="A1064" i="2"/>
  <c r="E1063" i="2"/>
  <c r="B1063" i="2"/>
  <c r="A1063" i="2"/>
  <c r="E1062" i="2"/>
  <c r="B1062" i="2"/>
  <c r="A1062" i="2"/>
  <c r="E1061" i="2"/>
  <c r="B1061" i="2"/>
  <c r="A1061" i="2"/>
  <c r="E1060" i="2"/>
  <c r="B1060" i="2"/>
  <c r="A1060" i="2"/>
  <c r="E1059" i="2"/>
  <c r="B1059" i="2"/>
  <c r="A1059" i="2"/>
  <c r="E1058" i="2"/>
  <c r="B1058" i="2"/>
  <c r="A1058" i="2"/>
  <c r="E1057" i="2"/>
  <c r="B1057" i="2"/>
  <c r="A1057" i="2"/>
  <c r="E1056" i="2"/>
  <c r="B1056" i="2"/>
  <c r="A1056" i="2"/>
  <c r="E1055" i="2"/>
  <c r="B1055" i="2"/>
  <c r="A1055" i="2"/>
  <c r="E1054" i="2"/>
  <c r="B1054" i="2"/>
  <c r="A1054" i="2"/>
  <c r="E1053" i="2"/>
  <c r="B1053" i="2"/>
  <c r="A1053" i="2"/>
  <c r="E1052" i="2"/>
  <c r="B1052" i="2"/>
  <c r="A1052" i="2"/>
  <c r="E1051" i="2"/>
  <c r="B1051" i="2"/>
  <c r="A1051" i="2"/>
  <c r="E1050" i="2"/>
  <c r="B1050" i="2"/>
  <c r="A1050" i="2"/>
  <c r="E1049" i="2"/>
  <c r="B1049" i="2"/>
  <c r="A1049" i="2"/>
  <c r="E1048" i="2"/>
  <c r="B1048" i="2"/>
  <c r="A1048" i="2"/>
  <c r="E1047" i="2"/>
  <c r="B1047" i="2"/>
  <c r="A1047" i="2"/>
  <c r="E1046" i="2"/>
  <c r="B1046" i="2"/>
  <c r="A1046" i="2"/>
  <c r="E1045" i="2"/>
  <c r="B1045" i="2"/>
  <c r="A1045" i="2"/>
  <c r="B1044" i="2"/>
  <c r="A1044" i="2"/>
  <c r="E1043" i="2"/>
  <c r="B1043" i="2"/>
  <c r="A1043" i="2"/>
  <c r="E1042" i="2"/>
  <c r="B1042" i="2"/>
  <c r="A1042" i="2"/>
  <c r="E1041" i="2"/>
  <c r="B1041" i="2"/>
  <c r="A1041" i="2"/>
  <c r="E1040" i="2"/>
  <c r="B1040" i="2"/>
  <c r="A1040" i="2"/>
  <c r="E1039" i="2"/>
  <c r="B1039" i="2"/>
  <c r="A1039" i="2"/>
  <c r="E1038" i="2"/>
  <c r="B1038" i="2"/>
  <c r="A1038" i="2"/>
  <c r="E1037" i="2"/>
  <c r="B1037" i="2"/>
  <c r="A1037" i="2"/>
  <c r="E1036" i="2"/>
  <c r="B1036" i="2"/>
  <c r="A1036" i="2"/>
  <c r="E1035" i="2"/>
  <c r="B1035" i="2"/>
  <c r="A1035" i="2"/>
  <c r="E1034" i="2"/>
  <c r="B1034" i="2"/>
  <c r="A1034" i="2"/>
  <c r="E1033" i="2"/>
  <c r="B1033" i="2"/>
  <c r="A1033" i="2"/>
  <c r="E1032" i="2"/>
  <c r="B1032" i="2"/>
  <c r="A1032" i="2"/>
  <c r="E1031" i="2"/>
  <c r="B1031" i="2"/>
  <c r="A1031" i="2"/>
  <c r="E1030" i="2"/>
  <c r="B1030" i="2"/>
  <c r="A1030" i="2"/>
  <c r="E1029" i="2"/>
  <c r="B1029" i="2"/>
  <c r="A1029" i="2"/>
  <c r="E1028" i="2"/>
  <c r="B1028" i="2"/>
  <c r="A1028" i="2"/>
  <c r="E1025" i="2"/>
  <c r="B1025" i="2"/>
  <c r="A1025" i="2"/>
  <c r="B1027" i="2"/>
  <c r="A1027" i="2"/>
  <c r="B1026" i="2"/>
  <c r="A1026" i="2"/>
  <c r="E1022" i="2"/>
  <c r="B1022" i="2"/>
  <c r="A1022" i="2"/>
  <c r="B1024" i="2"/>
  <c r="A1024" i="2"/>
  <c r="B1023" i="2"/>
  <c r="A1023" i="2"/>
  <c r="E1019" i="2"/>
  <c r="B1019" i="2"/>
  <c r="A1019" i="2"/>
  <c r="B1021" i="2"/>
  <c r="A1021" i="2"/>
  <c r="B1020" i="2"/>
  <c r="A1020" i="2"/>
  <c r="E1015" i="2"/>
  <c r="B1015" i="2"/>
  <c r="A1015" i="2"/>
  <c r="B1018" i="2"/>
  <c r="A1018" i="2"/>
  <c r="B1017" i="2"/>
  <c r="A1017" i="2"/>
  <c r="B1016" i="2"/>
  <c r="A1016" i="2"/>
  <c r="E1011" i="2"/>
  <c r="B1011" i="2"/>
  <c r="A1011" i="2"/>
  <c r="B1014" i="2"/>
  <c r="A1014" i="2"/>
  <c r="B1013" i="2"/>
  <c r="A1013" i="2"/>
  <c r="B1012" i="2"/>
  <c r="A1012" i="2"/>
  <c r="E1007" i="2"/>
  <c r="B1007" i="2"/>
  <c r="A1007" i="2"/>
  <c r="B1010" i="2"/>
  <c r="A1010" i="2"/>
  <c r="B1009" i="2"/>
  <c r="A1009" i="2"/>
  <c r="B1008" i="2"/>
  <c r="A1008" i="2"/>
  <c r="E1006" i="2"/>
  <c r="B1006" i="2"/>
  <c r="A1006" i="2"/>
  <c r="E1005" i="2"/>
  <c r="B1005" i="2"/>
  <c r="A1005" i="2"/>
  <c r="E1004" i="2"/>
  <c r="B1004" i="2"/>
  <c r="A1004" i="2"/>
  <c r="E1003" i="2"/>
  <c r="B1003" i="2"/>
  <c r="A1003" i="2"/>
  <c r="E1002" i="2"/>
  <c r="B1002" i="2"/>
  <c r="A1002" i="2"/>
  <c r="E1001" i="2"/>
  <c r="B1001" i="2"/>
  <c r="A1001" i="2"/>
  <c r="E1000" i="2"/>
  <c r="B1000" i="2"/>
  <c r="A1000" i="2"/>
  <c r="E997" i="2"/>
  <c r="B997" i="2"/>
  <c r="A997" i="2"/>
  <c r="B999" i="2"/>
  <c r="A999" i="2"/>
  <c r="B998" i="2"/>
  <c r="A998" i="2"/>
  <c r="E994" i="2"/>
  <c r="B994" i="2"/>
  <c r="A994" i="2"/>
  <c r="B996" i="2"/>
  <c r="A996" i="2"/>
  <c r="B995" i="2"/>
  <c r="A995" i="2"/>
  <c r="E991" i="2"/>
  <c r="B991" i="2"/>
  <c r="A991" i="2"/>
  <c r="B993" i="2"/>
  <c r="A993" i="2"/>
  <c r="B992" i="2"/>
  <c r="A992" i="2"/>
  <c r="E988" i="2"/>
  <c r="B988" i="2"/>
  <c r="A988" i="2"/>
  <c r="B990" i="2"/>
  <c r="A990" i="2"/>
  <c r="B989" i="2"/>
  <c r="A989" i="2"/>
  <c r="E987" i="2"/>
  <c r="B987" i="2"/>
  <c r="A987" i="2"/>
  <c r="E983" i="2"/>
  <c r="B983" i="2"/>
  <c r="A983" i="2"/>
  <c r="B986" i="2"/>
  <c r="A986" i="2"/>
  <c r="B985" i="2"/>
  <c r="A985" i="2"/>
  <c r="B984" i="2"/>
  <c r="A984" i="2"/>
  <c r="E982" i="2"/>
  <c r="B982" i="2"/>
  <c r="A982" i="2"/>
  <c r="E981" i="2"/>
  <c r="B981" i="2"/>
  <c r="A981" i="2"/>
  <c r="E980" i="2"/>
  <c r="B980" i="2"/>
  <c r="A980" i="2"/>
  <c r="E979" i="2"/>
  <c r="B979" i="2"/>
  <c r="A979" i="2"/>
  <c r="E978" i="2"/>
  <c r="B978" i="2"/>
  <c r="A978" i="2"/>
  <c r="E977" i="2"/>
  <c r="B977" i="2"/>
  <c r="A977" i="2"/>
  <c r="E976" i="2"/>
  <c r="B976" i="2"/>
  <c r="A976" i="2"/>
  <c r="E975" i="2"/>
  <c r="B975" i="2"/>
  <c r="A975" i="2"/>
  <c r="E974" i="2"/>
  <c r="B974" i="2"/>
  <c r="A974" i="2"/>
  <c r="E971" i="2"/>
  <c r="B971" i="2"/>
  <c r="A971" i="2"/>
  <c r="B973" i="2"/>
  <c r="A973" i="2"/>
  <c r="B972" i="2"/>
  <c r="A972" i="2"/>
  <c r="E970" i="2"/>
  <c r="B970" i="2"/>
  <c r="A970" i="2"/>
  <c r="E969" i="2"/>
  <c r="B969" i="2"/>
  <c r="A969" i="2"/>
  <c r="E968" i="2"/>
  <c r="B968" i="2"/>
  <c r="A968" i="2"/>
  <c r="E967" i="2"/>
  <c r="B967" i="2"/>
  <c r="A967" i="2"/>
  <c r="E966" i="2"/>
  <c r="B966" i="2"/>
  <c r="A966" i="2"/>
  <c r="E965" i="2"/>
  <c r="B965" i="2"/>
  <c r="A965" i="2"/>
  <c r="E961" i="2"/>
  <c r="B961" i="2"/>
  <c r="A961" i="2"/>
  <c r="B964" i="2"/>
  <c r="A964" i="2"/>
  <c r="B963" i="2"/>
  <c r="A963" i="2"/>
  <c r="B962" i="2"/>
  <c r="A962" i="2"/>
  <c r="E960" i="2"/>
  <c r="B960" i="2"/>
  <c r="A960" i="2"/>
  <c r="E959" i="2"/>
  <c r="B959" i="2"/>
  <c r="A959" i="2"/>
  <c r="E958" i="2"/>
  <c r="B958" i="2"/>
  <c r="A958" i="2"/>
  <c r="E957" i="2"/>
  <c r="B957" i="2"/>
  <c r="A957" i="2"/>
  <c r="E956" i="2"/>
  <c r="B956" i="2"/>
  <c r="A956" i="2"/>
  <c r="E955" i="2"/>
  <c r="B955" i="2"/>
  <c r="A955" i="2"/>
  <c r="E954" i="2"/>
  <c r="B954" i="2"/>
  <c r="A954" i="2"/>
  <c r="E953" i="2"/>
  <c r="B953" i="2"/>
  <c r="A953" i="2"/>
  <c r="E952" i="2"/>
  <c r="B952" i="2"/>
  <c r="A952" i="2"/>
  <c r="E951" i="2"/>
  <c r="B951" i="2"/>
  <c r="A951" i="2"/>
  <c r="E950" i="2"/>
  <c r="B950" i="2"/>
  <c r="A950" i="2"/>
  <c r="E949" i="2"/>
  <c r="B949" i="2"/>
  <c r="A949" i="2"/>
  <c r="E948" i="2"/>
  <c r="B948" i="2"/>
  <c r="A948" i="2"/>
  <c r="E947" i="2"/>
  <c r="B947" i="2"/>
  <c r="A947" i="2"/>
  <c r="E946" i="2"/>
  <c r="B946" i="2"/>
  <c r="A946" i="2"/>
  <c r="E945" i="2"/>
  <c r="B945" i="2"/>
  <c r="A945" i="2"/>
  <c r="E944" i="2"/>
  <c r="B944" i="2"/>
  <c r="A944" i="2"/>
  <c r="E943" i="2"/>
  <c r="B943" i="2"/>
  <c r="A943" i="2"/>
  <c r="E942" i="2"/>
  <c r="B942" i="2"/>
  <c r="A942" i="2"/>
  <c r="E941" i="2"/>
  <c r="B941" i="2"/>
  <c r="A941" i="2"/>
  <c r="E940" i="2"/>
  <c r="B940" i="2"/>
  <c r="A940" i="2"/>
  <c r="E939" i="2"/>
  <c r="B939" i="2"/>
  <c r="A939" i="2"/>
  <c r="E938" i="2"/>
  <c r="B938" i="2"/>
  <c r="A938" i="2"/>
  <c r="E937" i="2"/>
  <c r="B937" i="2"/>
  <c r="A937" i="2"/>
  <c r="E936" i="2"/>
  <c r="B936" i="2"/>
  <c r="A936" i="2"/>
  <c r="E935" i="2"/>
  <c r="B935" i="2"/>
  <c r="A935" i="2"/>
  <c r="E934" i="2"/>
  <c r="B934" i="2"/>
  <c r="A934" i="2"/>
  <c r="E933" i="2"/>
  <c r="B933" i="2"/>
  <c r="A933" i="2"/>
  <c r="E932" i="2"/>
  <c r="B932" i="2"/>
  <c r="A932" i="2"/>
  <c r="E931" i="2"/>
  <c r="B931" i="2"/>
  <c r="A931" i="2"/>
  <c r="E930" i="2"/>
  <c r="B930" i="2"/>
  <c r="A930" i="2"/>
  <c r="E929" i="2"/>
  <c r="B929" i="2"/>
  <c r="A929" i="2"/>
  <c r="E928" i="2"/>
  <c r="B928" i="2"/>
  <c r="A928" i="2"/>
  <c r="E927" i="2"/>
  <c r="B927" i="2"/>
  <c r="A927" i="2"/>
  <c r="E926" i="2"/>
  <c r="B926" i="2"/>
  <c r="A926" i="2"/>
  <c r="E925" i="2"/>
  <c r="B925" i="2"/>
  <c r="A925" i="2"/>
  <c r="E924" i="2"/>
  <c r="B924" i="2"/>
  <c r="A924" i="2"/>
  <c r="E923" i="2"/>
  <c r="B923" i="2"/>
  <c r="A923" i="2"/>
  <c r="E922" i="2"/>
  <c r="B922" i="2"/>
  <c r="A922" i="2"/>
  <c r="E921" i="2"/>
  <c r="B921" i="2"/>
  <c r="A921" i="2"/>
  <c r="E920" i="2"/>
  <c r="B920" i="2"/>
  <c r="A920" i="2"/>
  <c r="E919" i="2"/>
  <c r="B919" i="2"/>
  <c r="A919" i="2"/>
  <c r="E918" i="2"/>
  <c r="B918" i="2"/>
  <c r="A918" i="2"/>
  <c r="E917" i="2"/>
  <c r="B917" i="2"/>
  <c r="A917" i="2"/>
  <c r="E916" i="2"/>
  <c r="B916" i="2"/>
  <c r="A916" i="2"/>
  <c r="E915" i="2"/>
  <c r="B915" i="2"/>
  <c r="A915" i="2"/>
  <c r="E914" i="2"/>
  <c r="B914" i="2"/>
  <c r="A914" i="2"/>
  <c r="E913" i="2"/>
  <c r="B913" i="2"/>
  <c r="A913" i="2"/>
  <c r="E912" i="2"/>
  <c r="B912" i="2"/>
  <c r="A912" i="2"/>
  <c r="E911" i="2"/>
  <c r="B911" i="2"/>
  <c r="A911" i="2"/>
  <c r="E910" i="2"/>
  <c r="B910" i="2"/>
  <c r="A910" i="2"/>
  <c r="E907" i="2"/>
  <c r="B907" i="2"/>
  <c r="A907" i="2"/>
  <c r="B908" i="2"/>
  <c r="A908" i="2"/>
  <c r="B909" i="2"/>
  <c r="A909" i="2"/>
  <c r="E904" i="2"/>
  <c r="B904" i="2"/>
  <c r="A904" i="2"/>
  <c r="B905" i="2"/>
  <c r="A905" i="2"/>
  <c r="B906" i="2"/>
  <c r="A906" i="2"/>
  <c r="E903" i="2"/>
  <c r="B903" i="2"/>
  <c r="A903" i="2"/>
  <c r="E902" i="2"/>
  <c r="B902" i="2"/>
  <c r="A902" i="2"/>
  <c r="E901" i="2"/>
  <c r="B901" i="2"/>
  <c r="A901" i="2"/>
  <c r="E900" i="2"/>
  <c r="B900" i="2"/>
  <c r="A900" i="2"/>
  <c r="E899" i="2"/>
  <c r="B899" i="2"/>
  <c r="A899" i="2"/>
  <c r="E898" i="2"/>
  <c r="B898" i="2"/>
  <c r="A898" i="2"/>
  <c r="E897" i="2"/>
  <c r="B897" i="2"/>
  <c r="A897" i="2"/>
  <c r="E896" i="2"/>
  <c r="B896" i="2"/>
  <c r="A896" i="2"/>
  <c r="E895" i="2"/>
  <c r="B895" i="2"/>
  <c r="A895" i="2"/>
  <c r="E894" i="2"/>
  <c r="B894" i="2"/>
  <c r="A894" i="2"/>
  <c r="E893" i="2"/>
  <c r="B893" i="2"/>
  <c r="A893" i="2"/>
  <c r="E892" i="2"/>
  <c r="B892" i="2"/>
  <c r="A892" i="2"/>
  <c r="E891" i="2"/>
  <c r="B891" i="2"/>
  <c r="A891" i="2"/>
  <c r="E890" i="2"/>
  <c r="B890" i="2"/>
  <c r="A890" i="2"/>
  <c r="E889" i="2"/>
  <c r="B889" i="2"/>
  <c r="A889" i="2"/>
  <c r="E888" i="2"/>
  <c r="B888" i="2"/>
  <c r="A888" i="2"/>
  <c r="E887" i="2"/>
  <c r="B887" i="2"/>
  <c r="A887" i="2"/>
  <c r="B879" i="2"/>
  <c r="A879" i="2"/>
  <c r="B886" i="2"/>
  <c r="A886" i="2"/>
  <c r="B885" i="2"/>
  <c r="A885" i="2"/>
  <c r="B884" i="2"/>
  <c r="A884" i="2"/>
  <c r="B883" i="2"/>
  <c r="A883" i="2"/>
  <c r="B882" i="2"/>
  <c r="A882" i="2"/>
  <c r="B881" i="2"/>
  <c r="A881" i="2"/>
  <c r="B880" i="2"/>
  <c r="A880" i="2"/>
  <c r="B871" i="2"/>
  <c r="A871" i="2"/>
  <c r="B878" i="2"/>
  <c r="A878" i="2"/>
  <c r="B877" i="2"/>
  <c r="A877" i="2"/>
  <c r="B876" i="2"/>
  <c r="A876" i="2"/>
  <c r="B875" i="2"/>
  <c r="A875" i="2"/>
  <c r="B874" i="2"/>
  <c r="A874" i="2"/>
  <c r="B873" i="2"/>
  <c r="A873" i="2"/>
  <c r="B872" i="2"/>
  <c r="A872" i="2"/>
  <c r="B866" i="2"/>
  <c r="A866" i="2"/>
  <c r="B870" i="2"/>
  <c r="A870" i="2"/>
  <c r="B869" i="2"/>
  <c r="A869" i="2"/>
  <c r="B868" i="2"/>
  <c r="A868" i="2"/>
  <c r="B867" i="2"/>
  <c r="A867" i="2"/>
  <c r="B861" i="2"/>
  <c r="A861" i="2"/>
  <c r="B865" i="2"/>
  <c r="A865" i="2"/>
  <c r="B864" i="2"/>
  <c r="A864" i="2"/>
  <c r="B863" i="2"/>
  <c r="A863" i="2"/>
  <c r="B862" i="2"/>
  <c r="A862" i="2"/>
  <c r="E860" i="2"/>
  <c r="B860" i="2"/>
  <c r="A860" i="2"/>
  <c r="E859" i="2"/>
  <c r="B859" i="2"/>
  <c r="A859" i="2"/>
  <c r="E858" i="2"/>
  <c r="B858" i="2"/>
  <c r="A858" i="2"/>
  <c r="E857" i="2"/>
  <c r="B857" i="2"/>
  <c r="A857" i="2"/>
  <c r="E856" i="2"/>
  <c r="B856" i="2"/>
  <c r="A856" i="2"/>
  <c r="E855" i="2"/>
  <c r="B855" i="2"/>
  <c r="A855" i="2"/>
  <c r="E854" i="2"/>
  <c r="B854" i="2"/>
  <c r="A854" i="2"/>
  <c r="E853" i="2"/>
  <c r="B853" i="2"/>
  <c r="A853" i="2"/>
  <c r="E852" i="2"/>
  <c r="B852" i="2"/>
  <c r="A852" i="2"/>
  <c r="E851" i="2"/>
  <c r="B851" i="2"/>
  <c r="A851" i="2"/>
  <c r="E850" i="2"/>
  <c r="B850" i="2"/>
  <c r="A850" i="2"/>
  <c r="E849" i="2"/>
  <c r="B849" i="2"/>
  <c r="A849" i="2"/>
  <c r="E848" i="2"/>
  <c r="B848" i="2"/>
  <c r="A848" i="2"/>
  <c r="E847" i="2"/>
  <c r="B847" i="2"/>
  <c r="A847" i="2"/>
  <c r="E846" i="2"/>
  <c r="B846" i="2"/>
  <c r="A846" i="2"/>
  <c r="E845" i="2"/>
  <c r="B845" i="2"/>
  <c r="A845" i="2"/>
  <c r="E842" i="2"/>
  <c r="B842" i="2"/>
  <c r="A842" i="2"/>
  <c r="B844" i="2"/>
  <c r="A844" i="2"/>
  <c r="B843" i="2"/>
  <c r="A843" i="2"/>
  <c r="E841" i="2"/>
  <c r="B841" i="2"/>
  <c r="A841" i="2"/>
  <c r="E840" i="2"/>
  <c r="B840" i="2"/>
  <c r="A840" i="2"/>
  <c r="E839" i="2"/>
  <c r="B839" i="2"/>
  <c r="A839" i="2"/>
  <c r="E838" i="2"/>
  <c r="B838" i="2"/>
  <c r="A838" i="2"/>
  <c r="E837" i="2"/>
  <c r="B837" i="2"/>
  <c r="A837" i="2"/>
  <c r="E836" i="2"/>
  <c r="B836" i="2"/>
  <c r="A836" i="2"/>
  <c r="E835" i="2"/>
  <c r="B835" i="2"/>
  <c r="A835" i="2"/>
  <c r="E834" i="2"/>
  <c r="B834" i="2"/>
  <c r="A834" i="2"/>
  <c r="E833" i="2"/>
  <c r="B833" i="2"/>
  <c r="A833" i="2"/>
  <c r="E832" i="2"/>
  <c r="B832" i="2"/>
  <c r="A832" i="2"/>
  <c r="E831" i="2"/>
  <c r="B831" i="2"/>
  <c r="A831" i="2"/>
  <c r="E830" i="2"/>
  <c r="B830" i="2"/>
  <c r="A830" i="2"/>
  <c r="E829" i="2"/>
  <c r="B829" i="2"/>
  <c r="A829" i="2"/>
  <c r="E828" i="2"/>
  <c r="B828" i="2"/>
  <c r="A828" i="2"/>
  <c r="E827" i="2"/>
  <c r="B827" i="2"/>
  <c r="A827" i="2"/>
  <c r="E826" i="2"/>
  <c r="B826" i="2"/>
  <c r="A826" i="2"/>
  <c r="E825" i="2"/>
  <c r="B825" i="2"/>
  <c r="A825" i="2"/>
  <c r="E824" i="2"/>
  <c r="B824" i="2"/>
  <c r="A824" i="2"/>
  <c r="E823" i="2"/>
  <c r="B823" i="2"/>
  <c r="A823" i="2"/>
  <c r="E822" i="2"/>
  <c r="B822" i="2"/>
  <c r="A822" i="2"/>
  <c r="E819" i="2"/>
  <c r="B819" i="2"/>
  <c r="A819" i="2"/>
  <c r="B821" i="2"/>
  <c r="A821" i="2"/>
  <c r="B820" i="2"/>
  <c r="A820" i="2"/>
  <c r="E816" i="2"/>
  <c r="B816" i="2"/>
  <c r="A816" i="2"/>
  <c r="B818" i="2"/>
  <c r="A818" i="2"/>
  <c r="B817" i="2"/>
  <c r="A817" i="2"/>
  <c r="E813" i="2"/>
  <c r="B813" i="2"/>
  <c r="A813" i="2"/>
  <c r="B815" i="2"/>
  <c r="A815" i="2"/>
  <c r="B814" i="2"/>
  <c r="A814" i="2"/>
  <c r="E810" i="2"/>
  <c r="B810" i="2"/>
  <c r="A810" i="2"/>
  <c r="B812" i="2"/>
  <c r="A812" i="2"/>
  <c r="B811" i="2"/>
  <c r="A811" i="2"/>
  <c r="E809" i="2"/>
  <c r="B809" i="2"/>
  <c r="A809" i="2"/>
  <c r="E808" i="2"/>
  <c r="B808" i="2"/>
  <c r="A808" i="2"/>
  <c r="E807" i="2"/>
  <c r="B807" i="2"/>
  <c r="A807" i="2"/>
  <c r="E806" i="2"/>
  <c r="B806" i="2"/>
  <c r="A806" i="2"/>
  <c r="E805" i="2"/>
  <c r="B805" i="2"/>
  <c r="A805" i="2"/>
  <c r="E804" i="2"/>
  <c r="B804" i="2"/>
  <c r="A804" i="2"/>
  <c r="E803" i="2"/>
  <c r="B803" i="2"/>
  <c r="A803" i="2"/>
  <c r="E802" i="2"/>
  <c r="B802" i="2"/>
  <c r="A802" i="2"/>
  <c r="E801" i="2"/>
  <c r="B801" i="2"/>
  <c r="A801" i="2"/>
  <c r="E800" i="2"/>
  <c r="B800" i="2"/>
  <c r="A800" i="2"/>
  <c r="E799" i="2"/>
  <c r="B799" i="2"/>
  <c r="A799" i="2"/>
  <c r="E798" i="2"/>
  <c r="B798" i="2"/>
  <c r="A798" i="2"/>
  <c r="E797" i="2"/>
  <c r="B797" i="2"/>
  <c r="A797" i="2"/>
  <c r="E796" i="2"/>
  <c r="B796" i="2"/>
  <c r="A796" i="2"/>
  <c r="E795" i="2"/>
  <c r="B795" i="2"/>
  <c r="A795" i="2"/>
  <c r="E794" i="2"/>
  <c r="B794" i="2"/>
  <c r="A794" i="2"/>
  <c r="E793" i="2"/>
  <c r="B793" i="2"/>
  <c r="A793" i="2"/>
  <c r="E792" i="2"/>
  <c r="B792" i="2"/>
  <c r="A792" i="2"/>
  <c r="E791" i="2"/>
  <c r="B791" i="2"/>
  <c r="A791" i="2"/>
  <c r="E790" i="2"/>
  <c r="B790" i="2"/>
  <c r="A790" i="2"/>
  <c r="E789" i="2"/>
  <c r="B789" i="2"/>
  <c r="A789" i="2"/>
  <c r="E788" i="2"/>
  <c r="B788" i="2"/>
  <c r="A788" i="2"/>
  <c r="E787" i="2"/>
  <c r="B787" i="2"/>
  <c r="A787" i="2"/>
  <c r="E786" i="2"/>
  <c r="B786" i="2"/>
  <c r="A786" i="2"/>
  <c r="E785" i="2"/>
  <c r="B785" i="2"/>
  <c r="A785" i="2"/>
  <c r="E784" i="2"/>
  <c r="B784" i="2"/>
  <c r="A784" i="2"/>
  <c r="E783" i="2"/>
  <c r="B783" i="2"/>
  <c r="A783" i="2"/>
  <c r="E782" i="2"/>
  <c r="B782" i="2"/>
  <c r="A782" i="2"/>
  <c r="E781" i="2"/>
  <c r="B781" i="2"/>
  <c r="A781" i="2"/>
  <c r="E780" i="2"/>
  <c r="B780" i="2"/>
  <c r="A780" i="2"/>
  <c r="E779" i="2"/>
  <c r="B779" i="2"/>
  <c r="A779" i="2"/>
  <c r="E778" i="2"/>
  <c r="B778" i="2"/>
  <c r="A778" i="2"/>
  <c r="E777" i="2"/>
  <c r="B777" i="2"/>
  <c r="A777" i="2"/>
  <c r="E776" i="2"/>
  <c r="B776" i="2"/>
  <c r="A776" i="2"/>
  <c r="E775" i="2"/>
  <c r="B775" i="2"/>
  <c r="A775" i="2"/>
  <c r="E774" i="2"/>
  <c r="B774" i="2"/>
  <c r="A774" i="2"/>
  <c r="E771" i="2"/>
  <c r="B771" i="2"/>
  <c r="A771" i="2"/>
  <c r="B773" i="2"/>
  <c r="A773" i="2"/>
  <c r="B772" i="2"/>
  <c r="A772" i="2"/>
  <c r="E768" i="2"/>
  <c r="B768" i="2"/>
  <c r="A768" i="2"/>
  <c r="B770" i="2"/>
  <c r="A770" i="2"/>
  <c r="B769" i="2"/>
  <c r="A769" i="2"/>
  <c r="E765" i="2"/>
  <c r="B765" i="2"/>
  <c r="A765" i="2"/>
  <c r="B767" i="2"/>
  <c r="A767" i="2"/>
  <c r="B766" i="2"/>
  <c r="A766" i="2"/>
  <c r="E762" i="2"/>
  <c r="B762" i="2"/>
  <c r="A762" i="2"/>
  <c r="B764" i="2"/>
  <c r="A764" i="2"/>
  <c r="B763" i="2"/>
  <c r="A763" i="2"/>
  <c r="E759" i="2"/>
  <c r="B759" i="2"/>
  <c r="A759" i="2"/>
  <c r="B761" i="2"/>
  <c r="A761" i="2"/>
  <c r="B760" i="2"/>
  <c r="A760" i="2"/>
  <c r="E756" i="2"/>
  <c r="B756" i="2"/>
  <c r="A756" i="2"/>
  <c r="B758" i="2"/>
  <c r="A758" i="2"/>
  <c r="B757" i="2"/>
  <c r="A757" i="2"/>
  <c r="E753" i="2"/>
  <c r="B753" i="2"/>
  <c r="A753" i="2"/>
  <c r="B755" i="2"/>
  <c r="A755" i="2"/>
  <c r="B754" i="2"/>
  <c r="A754" i="2"/>
  <c r="E750" i="2"/>
  <c r="B750" i="2"/>
  <c r="A750" i="2"/>
  <c r="B752" i="2"/>
  <c r="A752" i="2"/>
  <c r="B751" i="2"/>
  <c r="A751" i="2"/>
  <c r="E747" i="2"/>
  <c r="B747" i="2"/>
  <c r="A747" i="2"/>
  <c r="B749" i="2"/>
  <c r="A749" i="2"/>
  <c r="B748" i="2"/>
  <c r="A748" i="2"/>
  <c r="E744" i="2"/>
  <c r="B744" i="2"/>
  <c r="A744" i="2"/>
  <c r="B746" i="2"/>
  <c r="A746" i="2"/>
  <c r="B745" i="2"/>
  <c r="A745" i="2"/>
  <c r="E743" i="2"/>
  <c r="B743" i="2"/>
  <c r="A743" i="2"/>
  <c r="E742" i="2"/>
  <c r="B742" i="2"/>
  <c r="A742" i="2"/>
  <c r="E741" i="2"/>
  <c r="B741" i="2"/>
  <c r="A741" i="2"/>
  <c r="E740" i="2"/>
  <c r="B740" i="2"/>
  <c r="A740" i="2"/>
  <c r="E739" i="2"/>
  <c r="B739" i="2"/>
  <c r="A739" i="2"/>
  <c r="E738" i="2"/>
  <c r="B738" i="2"/>
  <c r="A738" i="2"/>
  <c r="E737" i="2"/>
  <c r="B737" i="2"/>
  <c r="A737" i="2"/>
  <c r="E736" i="2"/>
  <c r="B736" i="2"/>
  <c r="A736" i="2"/>
  <c r="E735" i="2"/>
  <c r="B735" i="2"/>
  <c r="A735" i="2"/>
  <c r="E734" i="2"/>
  <c r="B734" i="2"/>
  <c r="A734" i="2"/>
  <c r="E733" i="2"/>
  <c r="B733" i="2"/>
  <c r="A733" i="2"/>
  <c r="E732" i="2"/>
  <c r="B732" i="2"/>
  <c r="A732" i="2"/>
  <c r="E731" i="2"/>
  <c r="B731" i="2"/>
  <c r="A731" i="2"/>
  <c r="E730" i="2"/>
  <c r="B730" i="2"/>
  <c r="A730" i="2"/>
  <c r="E729" i="2"/>
  <c r="B729" i="2"/>
  <c r="A729" i="2"/>
  <c r="E728" i="2"/>
  <c r="B728" i="2"/>
  <c r="A728" i="2"/>
  <c r="E727" i="2"/>
  <c r="B727" i="2"/>
  <c r="A727" i="2"/>
  <c r="E726" i="2"/>
  <c r="B726" i="2"/>
  <c r="A726" i="2"/>
  <c r="E725" i="2"/>
  <c r="B725" i="2"/>
  <c r="A725" i="2"/>
  <c r="E724" i="2"/>
  <c r="B724" i="2"/>
  <c r="A724" i="2"/>
  <c r="E723" i="2"/>
  <c r="B723" i="2"/>
  <c r="A723" i="2"/>
  <c r="E722" i="2"/>
  <c r="B722" i="2"/>
  <c r="A722" i="2"/>
  <c r="E721" i="2"/>
  <c r="B721" i="2"/>
  <c r="A721" i="2"/>
  <c r="E720" i="2"/>
  <c r="B720" i="2"/>
  <c r="A720" i="2"/>
  <c r="E719" i="2"/>
  <c r="B719" i="2"/>
  <c r="A719" i="2"/>
  <c r="E718" i="2"/>
  <c r="B718" i="2"/>
  <c r="A718" i="2"/>
  <c r="E717" i="2"/>
  <c r="B717" i="2"/>
  <c r="A717" i="2"/>
  <c r="E716" i="2"/>
  <c r="B716" i="2"/>
  <c r="A716" i="2"/>
  <c r="E715" i="2"/>
  <c r="B715" i="2"/>
  <c r="A715" i="2"/>
  <c r="E714" i="2"/>
  <c r="B714" i="2"/>
  <c r="A714" i="2"/>
  <c r="E713" i="2"/>
  <c r="B713" i="2"/>
  <c r="A713" i="2"/>
  <c r="E712" i="2"/>
  <c r="B712" i="2"/>
  <c r="A712" i="2"/>
  <c r="E711" i="2"/>
  <c r="B711" i="2"/>
  <c r="A711" i="2"/>
  <c r="E710" i="2"/>
  <c r="B710" i="2"/>
  <c r="A710" i="2"/>
  <c r="E709" i="2"/>
  <c r="B709" i="2"/>
  <c r="A709" i="2"/>
  <c r="E708" i="2"/>
  <c r="B708" i="2"/>
  <c r="A708" i="2"/>
  <c r="E707" i="2"/>
  <c r="B707" i="2"/>
  <c r="A707" i="2"/>
  <c r="E706" i="2"/>
  <c r="B706" i="2"/>
  <c r="A706" i="2"/>
  <c r="E705" i="2"/>
  <c r="B705" i="2"/>
  <c r="A705" i="2"/>
  <c r="E704" i="2"/>
  <c r="B704" i="2"/>
  <c r="A704" i="2"/>
  <c r="E703" i="2"/>
  <c r="B703" i="2"/>
  <c r="A703" i="2"/>
  <c r="E702" i="2"/>
  <c r="B702" i="2"/>
  <c r="A702" i="2"/>
  <c r="E701" i="2"/>
  <c r="B701" i="2"/>
  <c r="A701" i="2"/>
  <c r="E700" i="2"/>
  <c r="B700" i="2"/>
  <c r="A700" i="2"/>
  <c r="E699" i="2"/>
  <c r="B699" i="2"/>
  <c r="A699" i="2"/>
  <c r="E698" i="2"/>
  <c r="B698" i="2"/>
  <c r="A698" i="2"/>
  <c r="E697" i="2"/>
  <c r="B697" i="2"/>
  <c r="A697" i="2"/>
  <c r="E696" i="2"/>
  <c r="B696" i="2"/>
  <c r="A696" i="2"/>
  <c r="E695" i="2"/>
  <c r="B695" i="2"/>
  <c r="A695" i="2"/>
  <c r="E694" i="2"/>
  <c r="B694" i="2"/>
  <c r="A694" i="2"/>
  <c r="E693" i="2"/>
  <c r="B693" i="2"/>
  <c r="A693" i="2"/>
  <c r="E692" i="2"/>
  <c r="B692" i="2"/>
  <c r="A692" i="2"/>
  <c r="E691" i="2"/>
  <c r="B691" i="2"/>
  <c r="A691" i="2"/>
  <c r="E690" i="2"/>
  <c r="B690" i="2"/>
  <c r="A690" i="2"/>
  <c r="E689" i="2"/>
  <c r="B689" i="2"/>
  <c r="A689" i="2"/>
  <c r="E688" i="2"/>
  <c r="B688" i="2"/>
  <c r="A688" i="2"/>
  <c r="E687" i="2"/>
  <c r="B687" i="2"/>
  <c r="A687" i="2"/>
  <c r="E686" i="2"/>
  <c r="B686" i="2"/>
  <c r="A686" i="2"/>
  <c r="E685" i="2"/>
  <c r="B685" i="2"/>
  <c r="A685" i="2"/>
  <c r="E684" i="2"/>
  <c r="B684" i="2"/>
  <c r="A684" i="2"/>
  <c r="E683" i="2"/>
  <c r="B683" i="2"/>
  <c r="A683" i="2"/>
  <c r="E682" i="2"/>
  <c r="B682" i="2"/>
  <c r="A682" i="2"/>
  <c r="E681" i="2"/>
  <c r="B681" i="2"/>
  <c r="A681" i="2"/>
  <c r="E680" i="2"/>
  <c r="B680" i="2"/>
  <c r="A680" i="2"/>
  <c r="E679" i="2"/>
  <c r="B679" i="2"/>
  <c r="A679" i="2"/>
  <c r="E678" i="2"/>
  <c r="B678" i="2"/>
  <c r="A678" i="2"/>
  <c r="E677" i="2"/>
  <c r="B677" i="2"/>
  <c r="A677" i="2"/>
  <c r="E676" i="2"/>
  <c r="B676" i="2"/>
  <c r="A676" i="2"/>
  <c r="E675" i="2"/>
  <c r="B675" i="2"/>
  <c r="A675" i="2"/>
  <c r="E674" i="2"/>
  <c r="B674" i="2"/>
  <c r="A674" i="2"/>
  <c r="E673" i="2"/>
  <c r="B673" i="2"/>
  <c r="A673" i="2"/>
  <c r="E670" i="2"/>
  <c r="B670" i="2"/>
  <c r="A670" i="2"/>
  <c r="B672" i="2"/>
  <c r="A672" i="2"/>
  <c r="B671" i="2"/>
  <c r="A671" i="2"/>
  <c r="E669" i="2"/>
  <c r="B669" i="2"/>
  <c r="A669" i="2"/>
  <c r="E668" i="2"/>
  <c r="B668" i="2"/>
  <c r="A668" i="2"/>
  <c r="E667" i="2"/>
  <c r="B667" i="2"/>
  <c r="A667" i="2"/>
  <c r="E666" i="2"/>
  <c r="B666" i="2"/>
  <c r="A666" i="2"/>
  <c r="E665" i="2"/>
  <c r="B665" i="2"/>
  <c r="A665" i="2"/>
  <c r="E664" i="2"/>
  <c r="B664" i="2"/>
  <c r="A664" i="2"/>
  <c r="E663" i="2"/>
  <c r="B663" i="2"/>
  <c r="A663" i="2"/>
  <c r="E660" i="2"/>
  <c r="B660" i="2"/>
  <c r="A660" i="2"/>
  <c r="B662" i="2"/>
  <c r="A662" i="2"/>
  <c r="B661" i="2"/>
  <c r="A661" i="2"/>
  <c r="E657" i="2"/>
  <c r="B657" i="2"/>
  <c r="A657" i="2"/>
  <c r="B659" i="2"/>
  <c r="A659" i="2"/>
  <c r="B658" i="2"/>
  <c r="A658" i="2"/>
  <c r="E654" i="2"/>
  <c r="B654" i="2"/>
  <c r="A654" i="2"/>
  <c r="B656" i="2"/>
  <c r="A656" i="2"/>
  <c r="B655" i="2"/>
  <c r="A655" i="2"/>
  <c r="E651" i="2"/>
  <c r="B651" i="2"/>
  <c r="A651" i="2"/>
  <c r="B653" i="2"/>
  <c r="A653" i="2"/>
  <c r="B652" i="2"/>
  <c r="A652" i="2"/>
  <c r="E650" i="2"/>
  <c r="B650" i="2"/>
  <c r="A650" i="2"/>
  <c r="E649" i="2"/>
  <c r="B649" i="2"/>
  <c r="A649" i="2"/>
  <c r="E648" i="2"/>
  <c r="B648" i="2"/>
  <c r="A648" i="2"/>
  <c r="E647" i="2"/>
  <c r="B647" i="2"/>
  <c r="A647" i="2"/>
  <c r="E646" i="2"/>
  <c r="B646" i="2"/>
  <c r="A646" i="2"/>
  <c r="E645" i="2"/>
  <c r="B645" i="2"/>
  <c r="A645" i="2"/>
  <c r="E644" i="2"/>
  <c r="B644" i="2"/>
  <c r="A644" i="2"/>
  <c r="E643" i="2"/>
  <c r="B643" i="2"/>
  <c r="A643" i="2"/>
  <c r="E642" i="2"/>
  <c r="B642" i="2"/>
  <c r="A642" i="2"/>
  <c r="E641" i="2"/>
  <c r="B641" i="2"/>
  <c r="A641" i="2"/>
  <c r="E640" i="2"/>
  <c r="B640" i="2"/>
  <c r="A640" i="2"/>
  <c r="E639" i="2"/>
  <c r="B639" i="2"/>
  <c r="A639" i="2"/>
  <c r="E638" i="2"/>
  <c r="B638" i="2"/>
  <c r="A638" i="2"/>
  <c r="E637" i="2"/>
  <c r="B637" i="2"/>
  <c r="A637" i="2"/>
  <c r="E634" i="2"/>
  <c r="B634" i="2"/>
  <c r="A634" i="2"/>
  <c r="B636" i="2"/>
  <c r="A636" i="2"/>
  <c r="B635" i="2"/>
  <c r="A635" i="2"/>
  <c r="E631" i="2"/>
  <c r="B631" i="2"/>
  <c r="A631" i="2"/>
  <c r="B633" i="2"/>
  <c r="A633" i="2"/>
  <c r="B632" i="2"/>
  <c r="A632" i="2"/>
  <c r="E628" i="2"/>
  <c r="B628" i="2"/>
  <c r="A628" i="2"/>
  <c r="B630" i="2"/>
  <c r="A630" i="2"/>
  <c r="B629" i="2"/>
  <c r="A629" i="2"/>
  <c r="E625" i="2"/>
  <c r="B625" i="2"/>
  <c r="A625" i="2"/>
  <c r="B627" i="2"/>
  <c r="A627" i="2"/>
  <c r="B626" i="2"/>
  <c r="A626" i="2"/>
  <c r="E622" i="2"/>
  <c r="B622" i="2"/>
  <c r="A622" i="2"/>
  <c r="B624" i="2"/>
  <c r="A624" i="2"/>
  <c r="B623" i="2"/>
  <c r="A623" i="2"/>
  <c r="E619" i="2"/>
  <c r="B619" i="2"/>
  <c r="A619" i="2"/>
  <c r="B621" i="2"/>
  <c r="A621" i="2"/>
  <c r="B620" i="2"/>
  <c r="A620" i="2"/>
  <c r="E616" i="2"/>
  <c r="B616" i="2"/>
  <c r="A616" i="2"/>
  <c r="B618" i="2"/>
  <c r="A618" i="2"/>
  <c r="B617" i="2"/>
  <c r="A617" i="2"/>
  <c r="E613" i="2"/>
  <c r="B613" i="2"/>
  <c r="A613" i="2"/>
  <c r="B615" i="2"/>
  <c r="A615" i="2"/>
  <c r="B614" i="2"/>
  <c r="A614" i="2"/>
  <c r="E612" i="2"/>
  <c r="B612" i="2"/>
  <c r="A612" i="2"/>
  <c r="E611" i="2"/>
  <c r="B611" i="2"/>
  <c r="A611" i="2"/>
  <c r="E610" i="2"/>
  <c r="B610" i="2"/>
  <c r="A610" i="2"/>
  <c r="E609" i="2"/>
  <c r="B609" i="2"/>
  <c r="A609" i="2"/>
  <c r="E608" i="2"/>
  <c r="B608" i="2"/>
  <c r="A608" i="2"/>
  <c r="E607" i="2"/>
  <c r="B607" i="2"/>
  <c r="A607" i="2"/>
  <c r="E606" i="2"/>
  <c r="B606" i="2"/>
  <c r="A606" i="2"/>
  <c r="E605" i="2"/>
  <c r="B605" i="2"/>
  <c r="A605" i="2"/>
  <c r="E604" i="2"/>
  <c r="B604" i="2"/>
  <c r="A604" i="2"/>
  <c r="E603" i="2"/>
  <c r="B603" i="2"/>
  <c r="A603" i="2"/>
  <c r="E602" i="2"/>
  <c r="B602" i="2"/>
  <c r="A602" i="2"/>
  <c r="E601" i="2"/>
  <c r="B601" i="2"/>
  <c r="A601" i="2"/>
  <c r="E600" i="2"/>
  <c r="B600" i="2"/>
  <c r="A600" i="2"/>
  <c r="E599" i="2"/>
  <c r="B599" i="2"/>
  <c r="A599" i="2"/>
  <c r="E598" i="2"/>
  <c r="B598" i="2"/>
  <c r="A598" i="2"/>
  <c r="E597" i="2"/>
  <c r="B597" i="2"/>
  <c r="A597" i="2"/>
  <c r="B596" i="2"/>
  <c r="A596" i="2"/>
  <c r="E595" i="2"/>
  <c r="B595" i="2"/>
  <c r="A595" i="2"/>
  <c r="E594" i="2"/>
  <c r="B594" i="2"/>
  <c r="A594" i="2"/>
  <c r="E593" i="2"/>
  <c r="B593" i="2"/>
  <c r="A593" i="2"/>
  <c r="E592" i="2"/>
  <c r="B592" i="2"/>
  <c r="A592" i="2"/>
  <c r="E591" i="2"/>
  <c r="B591" i="2"/>
  <c r="A591" i="2"/>
  <c r="E590" i="2"/>
  <c r="B590" i="2"/>
  <c r="A590" i="2"/>
  <c r="E589" i="2"/>
  <c r="B589" i="2"/>
  <c r="A589" i="2"/>
  <c r="E588" i="2"/>
  <c r="B588" i="2"/>
  <c r="A588" i="2"/>
  <c r="E585" i="2"/>
  <c r="B585" i="2"/>
  <c r="A585" i="2"/>
  <c r="B587" i="2"/>
  <c r="A587" i="2"/>
  <c r="B586" i="2"/>
  <c r="A586" i="2"/>
  <c r="E582" i="2"/>
  <c r="B582" i="2"/>
  <c r="A582" i="2"/>
  <c r="B584" i="2"/>
  <c r="A584" i="2"/>
  <c r="B583" i="2"/>
  <c r="A583" i="2"/>
  <c r="E579" i="2"/>
  <c r="B579" i="2"/>
  <c r="A579" i="2"/>
  <c r="B581" i="2"/>
  <c r="A581" i="2"/>
  <c r="B580" i="2"/>
  <c r="A580" i="2"/>
  <c r="B578" i="2"/>
  <c r="A578" i="2"/>
  <c r="E577" i="2"/>
  <c r="B577" i="2"/>
  <c r="A577" i="2"/>
  <c r="E576" i="2"/>
  <c r="B576" i="2"/>
  <c r="A576" i="2"/>
  <c r="E575" i="2"/>
  <c r="B575" i="2"/>
  <c r="A575" i="2"/>
  <c r="E574" i="2"/>
  <c r="B574" i="2"/>
  <c r="A574" i="2"/>
  <c r="E573" i="2"/>
  <c r="B573" i="2"/>
  <c r="A573" i="2"/>
  <c r="E572" i="2"/>
  <c r="B572" i="2"/>
  <c r="A572" i="2"/>
  <c r="E571" i="2"/>
  <c r="B571" i="2"/>
  <c r="A571" i="2"/>
  <c r="E570" i="2"/>
  <c r="B570" i="2"/>
  <c r="A570" i="2"/>
  <c r="E569" i="2"/>
  <c r="B569" i="2"/>
  <c r="A569" i="2"/>
  <c r="E568" i="2"/>
  <c r="B568" i="2"/>
  <c r="A568" i="2"/>
  <c r="E567" i="2"/>
  <c r="B567" i="2"/>
  <c r="A567" i="2"/>
  <c r="E566" i="2"/>
  <c r="B566" i="2"/>
  <c r="A566" i="2"/>
  <c r="E565" i="2"/>
  <c r="B565" i="2"/>
  <c r="A565" i="2"/>
  <c r="E564" i="2"/>
  <c r="B564" i="2"/>
  <c r="A564" i="2"/>
  <c r="E563" i="2"/>
  <c r="B563" i="2"/>
  <c r="A563" i="2"/>
  <c r="E560" i="2"/>
  <c r="B560" i="2"/>
  <c r="A560" i="2"/>
  <c r="B562" i="2"/>
  <c r="A562" i="2"/>
  <c r="B561" i="2"/>
  <c r="A561" i="2"/>
  <c r="E559" i="2"/>
  <c r="B559" i="2"/>
  <c r="A559" i="2"/>
  <c r="E558" i="2"/>
  <c r="B558" i="2"/>
  <c r="A558" i="2"/>
  <c r="E557" i="2"/>
  <c r="B557" i="2"/>
  <c r="A557" i="2"/>
  <c r="E556" i="2"/>
  <c r="B556" i="2"/>
  <c r="A556" i="2"/>
  <c r="E555" i="2"/>
  <c r="B555" i="2"/>
  <c r="A555" i="2"/>
  <c r="B554" i="2"/>
  <c r="A554" i="2"/>
  <c r="E551" i="2"/>
  <c r="B551" i="2"/>
  <c r="A551" i="2"/>
  <c r="B553" i="2"/>
  <c r="A553" i="2"/>
  <c r="E552" i="2"/>
  <c r="B552" i="2"/>
  <c r="A552" i="2"/>
  <c r="E548" i="2"/>
  <c r="B548" i="2"/>
  <c r="A548" i="2"/>
  <c r="B550" i="2"/>
  <c r="A550" i="2"/>
  <c r="B549" i="2"/>
  <c r="A549" i="2"/>
  <c r="E547" i="2"/>
  <c r="B547" i="2"/>
  <c r="A547" i="2"/>
  <c r="E546" i="2"/>
  <c r="B546" i="2"/>
  <c r="A546" i="2"/>
  <c r="E543" i="2"/>
  <c r="B543" i="2"/>
  <c r="A543" i="2"/>
  <c r="B545" i="2"/>
  <c r="A545" i="2"/>
  <c r="B544" i="2"/>
  <c r="A544" i="2"/>
  <c r="E542" i="2"/>
  <c r="B542" i="2"/>
  <c r="A542" i="2"/>
  <c r="E541" i="2"/>
  <c r="B541" i="2"/>
  <c r="A541" i="2"/>
  <c r="E540" i="2"/>
  <c r="B540" i="2"/>
  <c r="A540" i="2"/>
  <c r="E539" i="2"/>
  <c r="B539" i="2"/>
  <c r="A539" i="2"/>
  <c r="E538" i="2"/>
  <c r="B538" i="2"/>
  <c r="A538" i="2"/>
  <c r="E535" i="2"/>
  <c r="B535" i="2"/>
  <c r="A535" i="2"/>
  <c r="B537" i="2"/>
  <c r="A537" i="2"/>
  <c r="B536" i="2"/>
  <c r="A536" i="2"/>
  <c r="E534" i="2"/>
  <c r="B534" i="2"/>
  <c r="A534" i="2"/>
  <c r="E533" i="2"/>
  <c r="B533" i="2"/>
  <c r="A533" i="2"/>
  <c r="E532" i="2"/>
  <c r="B532" i="2"/>
  <c r="A532" i="2"/>
  <c r="E531" i="2"/>
  <c r="B531" i="2"/>
  <c r="A531" i="2"/>
  <c r="E530" i="2"/>
  <c r="B530" i="2"/>
  <c r="A530" i="2"/>
  <c r="E529" i="2"/>
  <c r="B529" i="2"/>
  <c r="A529" i="2"/>
  <c r="E528" i="2"/>
  <c r="B528" i="2"/>
  <c r="A528" i="2"/>
  <c r="E527" i="2"/>
  <c r="B527" i="2"/>
  <c r="A527" i="2"/>
  <c r="E526" i="2"/>
  <c r="B526" i="2"/>
  <c r="A526" i="2"/>
  <c r="E525" i="2"/>
  <c r="B525" i="2"/>
  <c r="A525" i="2"/>
  <c r="E524" i="2"/>
  <c r="B524" i="2"/>
  <c r="A524" i="2"/>
  <c r="E523" i="2"/>
  <c r="B523" i="2"/>
  <c r="A523" i="2"/>
  <c r="E522" i="2"/>
  <c r="B522" i="2"/>
  <c r="A522" i="2"/>
  <c r="E521" i="2"/>
  <c r="B521" i="2"/>
  <c r="A521" i="2"/>
  <c r="E520" i="2"/>
  <c r="B520" i="2"/>
  <c r="A520" i="2"/>
  <c r="E519" i="2"/>
  <c r="B519" i="2"/>
  <c r="A519" i="2"/>
  <c r="E515" i="2"/>
  <c r="B515" i="2"/>
  <c r="A515" i="2"/>
  <c r="B518" i="2"/>
  <c r="A518" i="2"/>
  <c r="B517" i="2"/>
  <c r="A517" i="2"/>
  <c r="B516" i="2"/>
  <c r="A516" i="2"/>
  <c r="E514" i="2"/>
  <c r="B514" i="2"/>
  <c r="A514" i="2"/>
  <c r="E513" i="2"/>
  <c r="B513" i="2"/>
  <c r="A513" i="2"/>
  <c r="B512" i="2"/>
  <c r="A512" i="2"/>
  <c r="E511" i="2"/>
  <c r="B511" i="2"/>
  <c r="A511" i="2"/>
  <c r="E510" i="2"/>
  <c r="B510" i="2"/>
  <c r="A510" i="2"/>
  <c r="E506" i="2"/>
  <c r="B506" i="2"/>
  <c r="A506" i="2"/>
  <c r="B509" i="2"/>
  <c r="A509" i="2"/>
  <c r="B508" i="2"/>
  <c r="A508" i="2"/>
  <c r="B507" i="2"/>
  <c r="A507" i="2"/>
  <c r="E505" i="2"/>
  <c r="B505" i="2"/>
  <c r="A505" i="2"/>
  <c r="E504" i="2"/>
  <c r="B504" i="2"/>
  <c r="A504" i="2"/>
  <c r="E503" i="2"/>
  <c r="B503" i="2"/>
  <c r="A503" i="2"/>
  <c r="E502" i="2"/>
  <c r="B502" i="2"/>
  <c r="A502" i="2"/>
  <c r="E501" i="2"/>
  <c r="B501" i="2"/>
  <c r="A501" i="2"/>
  <c r="E500" i="2"/>
  <c r="B500" i="2"/>
  <c r="A500" i="2"/>
  <c r="E499" i="2"/>
  <c r="B499" i="2"/>
  <c r="A499" i="2"/>
  <c r="E498" i="2"/>
  <c r="B498" i="2"/>
  <c r="A498" i="2"/>
  <c r="E497" i="2"/>
  <c r="B497" i="2"/>
  <c r="A497" i="2"/>
  <c r="E496" i="2"/>
  <c r="B496" i="2"/>
  <c r="A496" i="2"/>
  <c r="E495" i="2"/>
  <c r="B495" i="2"/>
  <c r="A495" i="2"/>
  <c r="E494" i="2"/>
  <c r="B494" i="2"/>
  <c r="A494" i="2"/>
  <c r="E493" i="2"/>
  <c r="B493" i="2"/>
  <c r="A493" i="2"/>
  <c r="E492" i="2"/>
  <c r="B492" i="2"/>
  <c r="A492" i="2"/>
  <c r="E491" i="2"/>
  <c r="B491" i="2"/>
  <c r="A491" i="2"/>
  <c r="E490" i="2"/>
  <c r="B490" i="2"/>
  <c r="A490" i="2"/>
  <c r="E489" i="2"/>
  <c r="B489" i="2"/>
  <c r="A489" i="2"/>
  <c r="E488" i="2"/>
  <c r="B488" i="2"/>
  <c r="A488" i="2"/>
  <c r="E487" i="2"/>
  <c r="B487" i="2"/>
  <c r="A487" i="2"/>
  <c r="E486" i="2"/>
  <c r="B486" i="2"/>
  <c r="A486" i="2"/>
  <c r="E485" i="2"/>
  <c r="B485" i="2"/>
  <c r="A485" i="2"/>
  <c r="E484" i="2"/>
  <c r="B484" i="2"/>
  <c r="A484" i="2"/>
  <c r="E483" i="2"/>
  <c r="B483" i="2"/>
  <c r="A483" i="2"/>
  <c r="E482" i="2"/>
  <c r="B482" i="2"/>
  <c r="A482" i="2"/>
  <c r="E481" i="2"/>
  <c r="B481" i="2"/>
  <c r="A481" i="2"/>
  <c r="E480" i="2"/>
  <c r="B480" i="2"/>
  <c r="A480" i="2"/>
  <c r="E479" i="2"/>
  <c r="B479" i="2"/>
  <c r="A479" i="2"/>
  <c r="E478" i="2"/>
  <c r="B478" i="2"/>
  <c r="A478" i="2"/>
  <c r="E475" i="2"/>
  <c r="B475" i="2"/>
  <c r="A475" i="2"/>
  <c r="B477" i="2"/>
  <c r="A477" i="2"/>
  <c r="B476" i="2"/>
  <c r="A476" i="2"/>
  <c r="E474" i="2"/>
  <c r="B474" i="2"/>
  <c r="A474" i="2"/>
  <c r="E473" i="2"/>
  <c r="B473" i="2"/>
  <c r="A473" i="2"/>
  <c r="E472" i="2"/>
  <c r="B472" i="2"/>
  <c r="A472" i="2"/>
  <c r="E471" i="2"/>
  <c r="B471" i="2"/>
  <c r="A471" i="2"/>
  <c r="E470" i="2"/>
  <c r="B470" i="2"/>
  <c r="A470" i="2"/>
  <c r="E469" i="2"/>
  <c r="B469" i="2"/>
  <c r="A469" i="2"/>
  <c r="E468" i="2"/>
  <c r="B468" i="2"/>
  <c r="A468" i="2"/>
  <c r="E467" i="2"/>
  <c r="B467" i="2"/>
  <c r="A467" i="2"/>
  <c r="E466" i="2"/>
  <c r="B466" i="2"/>
  <c r="A466" i="2"/>
  <c r="E465" i="2"/>
  <c r="B465" i="2"/>
  <c r="A465" i="2"/>
  <c r="E464" i="2"/>
  <c r="B464" i="2"/>
  <c r="A464" i="2"/>
  <c r="E463" i="2"/>
  <c r="B463" i="2"/>
  <c r="A463" i="2"/>
  <c r="E462" i="2"/>
  <c r="B462" i="2"/>
  <c r="A462" i="2"/>
  <c r="E461" i="2"/>
  <c r="B461" i="2"/>
  <c r="A461" i="2"/>
  <c r="E460" i="2"/>
  <c r="B460" i="2"/>
  <c r="A460" i="2"/>
  <c r="E459" i="2"/>
  <c r="B459" i="2"/>
  <c r="A459" i="2"/>
  <c r="E458" i="2"/>
  <c r="B458" i="2"/>
  <c r="A458" i="2"/>
  <c r="E457" i="2"/>
  <c r="B457" i="2"/>
  <c r="A457" i="2"/>
  <c r="E456" i="2"/>
  <c r="B456" i="2"/>
  <c r="A456" i="2"/>
  <c r="E455" i="2"/>
  <c r="B455" i="2"/>
  <c r="A455" i="2"/>
  <c r="E454" i="2"/>
  <c r="B454" i="2"/>
  <c r="A454" i="2"/>
  <c r="E453" i="2"/>
  <c r="B453" i="2"/>
  <c r="A453" i="2"/>
  <c r="E452" i="2"/>
  <c r="B452" i="2"/>
  <c r="A452" i="2"/>
  <c r="E451" i="2"/>
  <c r="B451" i="2"/>
  <c r="A451" i="2"/>
  <c r="E450" i="2"/>
  <c r="B450" i="2"/>
  <c r="A450" i="2"/>
  <c r="E449" i="2"/>
  <c r="B449" i="2"/>
  <c r="A449" i="2"/>
  <c r="E448" i="2"/>
  <c r="B448" i="2"/>
  <c r="A448" i="2"/>
  <c r="E447" i="2"/>
  <c r="B447" i="2"/>
  <c r="A447" i="2"/>
  <c r="E446" i="2"/>
  <c r="B446" i="2"/>
  <c r="A446" i="2"/>
  <c r="E445" i="2"/>
  <c r="B445" i="2"/>
  <c r="A445" i="2"/>
  <c r="E444" i="2"/>
  <c r="B444" i="2"/>
  <c r="A444" i="2"/>
  <c r="E443" i="2"/>
  <c r="B443" i="2"/>
  <c r="A443" i="2"/>
  <c r="E442" i="2"/>
  <c r="B442" i="2"/>
  <c r="A442" i="2"/>
  <c r="E441" i="2"/>
  <c r="B441" i="2"/>
  <c r="A441" i="2"/>
  <c r="E440" i="2"/>
  <c r="B440" i="2"/>
  <c r="A440" i="2"/>
  <c r="E439" i="2"/>
  <c r="B439" i="2"/>
  <c r="A439" i="2"/>
  <c r="E438" i="2"/>
  <c r="B438" i="2"/>
  <c r="A438" i="2"/>
  <c r="E437" i="2"/>
  <c r="B437" i="2"/>
  <c r="A437" i="2"/>
  <c r="E436" i="2"/>
  <c r="B436" i="2"/>
  <c r="A436" i="2"/>
  <c r="E435" i="2"/>
  <c r="B435" i="2"/>
  <c r="A435" i="2"/>
  <c r="E434" i="2"/>
  <c r="B434" i="2"/>
  <c r="A434" i="2"/>
  <c r="E433" i="2"/>
  <c r="B433" i="2"/>
  <c r="A433" i="2"/>
  <c r="E432" i="2"/>
  <c r="B432" i="2"/>
  <c r="A432" i="2"/>
  <c r="E431" i="2"/>
  <c r="B431" i="2"/>
  <c r="A431" i="2"/>
  <c r="E430" i="2"/>
  <c r="B430" i="2"/>
  <c r="A430" i="2"/>
  <c r="E429" i="2"/>
  <c r="B429" i="2"/>
  <c r="A429" i="2"/>
  <c r="E428" i="2"/>
  <c r="B428" i="2"/>
  <c r="A428" i="2"/>
  <c r="E427" i="2"/>
  <c r="B427" i="2"/>
  <c r="A427" i="2"/>
  <c r="E426" i="2"/>
  <c r="B426" i="2"/>
  <c r="A426" i="2"/>
  <c r="E425" i="2"/>
  <c r="B425" i="2"/>
  <c r="A425" i="2"/>
  <c r="E424" i="2"/>
  <c r="B424" i="2"/>
  <c r="A424" i="2"/>
  <c r="E423" i="2"/>
  <c r="B423" i="2"/>
  <c r="A423" i="2"/>
  <c r="E422" i="2"/>
  <c r="B422" i="2"/>
  <c r="A422" i="2"/>
  <c r="E421" i="2"/>
  <c r="B421" i="2"/>
  <c r="A421" i="2"/>
  <c r="E420" i="2"/>
  <c r="B420" i="2"/>
  <c r="A420" i="2"/>
  <c r="E419" i="2"/>
  <c r="B419" i="2"/>
  <c r="A419" i="2"/>
  <c r="E418" i="2"/>
  <c r="B418" i="2"/>
  <c r="A418" i="2"/>
  <c r="E417" i="2"/>
  <c r="B417" i="2"/>
  <c r="A417" i="2"/>
  <c r="E416" i="2"/>
  <c r="B416" i="2"/>
  <c r="A416" i="2"/>
  <c r="E415" i="2"/>
  <c r="B415" i="2"/>
  <c r="A415" i="2"/>
  <c r="E414" i="2"/>
  <c r="B414" i="2"/>
  <c r="A414" i="2"/>
  <c r="E413" i="2"/>
  <c r="B413" i="2"/>
  <c r="A413" i="2"/>
  <c r="E412" i="2"/>
  <c r="B412" i="2"/>
  <c r="A412" i="2"/>
  <c r="E411" i="2"/>
  <c r="B411" i="2"/>
  <c r="A411" i="2"/>
  <c r="E410" i="2"/>
  <c r="B410" i="2"/>
  <c r="A410" i="2"/>
  <c r="E409" i="2"/>
  <c r="B409" i="2"/>
  <c r="A409" i="2"/>
  <c r="E408" i="2"/>
  <c r="B408" i="2"/>
  <c r="A408" i="2"/>
  <c r="E407" i="2"/>
  <c r="B407" i="2"/>
  <c r="A407" i="2"/>
  <c r="E406" i="2"/>
  <c r="B406" i="2"/>
  <c r="A406" i="2"/>
  <c r="E405" i="2"/>
  <c r="B405" i="2"/>
  <c r="A405" i="2"/>
  <c r="E404" i="2"/>
  <c r="B404" i="2"/>
  <c r="A404" i="2"/>
  <c r="E403" i="2"/>
  <c r="B403" i="2"/>
  <c r="A403" i="2"/>
  <c r="E402" i="2"/>
  <c r="B402" i="2"/>
  <c r="A402" i="2"/>
  <c r="E401" i="2"/>
  <c r="B401" i="2"/>
  <c r="A401" i="2"/>
  <c r="E400" i="2"/>
  <c r="B400" i="2"/>
  <c r="A400" i="2"/>
  <c r="E399" i="2"/>
  <c r="B399" i="2"/>
  <c r="A399" i="2"/>
  <c r="E398" i="2"/>
  <c r="B398" i="2"/>
  <c r="A398" i="2"/>
  <c r="E397" i="2"/>
  <c r="B397" i="2"/>
  <c r="A397" i="2"/>
  <c r="E396" i="2"/>
  <c r="B396" i="2"/>
  <c r="A396" i="2"/>
  <c r="E395" i="2"/>
  <c r="B395" i="2"/>
  <c r="A395" i="2"/>
  <c r="E394" i="2"/>
  <c r="B394" i="2"/>
  <c r="A394" i="2"/>
  <c r="E393" i="2"/>
  <c r="B393" i="2"/>
  <c r="A393" i="2"/>
  <c r="E392" i="2"/>
  <c r="B392" i="2"/>
  <c r="A392" i="2"/>
  <c r="E391" i="2"/>
  <c r="B391" i="2"/>
  <c r="A391" i="2"/>
  <c r="E390" i="2"/>
  <c r="B390" i="2"/>
  <c r="A390" i="2"/>
  <c r="E389" i="2"/>
  <c r="B389" i="2"/>
  <c r="A389" i="2"/>
  <c r="E388" i="2"/>
  <c r="B388" i="2"/>
  <c r="A388" i="2"/>
  <c r="E387" i="2"/>
  <c r="B387" i="2"/>
  <c r="A387" i="2"/>
  <c r="E386" i="2"/>
  <c r="B386" i="2"/>
  <c r="A386" i="2"/>
  <c r="E385" i="2"/>
  <c r="B385" i="2"/>
  <c r="A385" i="2"/>
  <c r="E384" i="2"/>
  <c r="B384" i="2"/>
  <c r="A384" i="2"/>
  <c r="E383" i="2"/>
  <c r="B383" i="2"/>
  <c r="A383" i="2"/>
  <c r="E382" i="2"/>
  <c r="B382" i="2"/>
  <c r="A382" i="2"/>
  <c r="E381" i="2"/>
  <c r="B381" i="2"/>
  <c r="A381" i="2"/>
  <c r="E380" i="2"/>
  <c r="B380" i="2"/>
  <c r="A380" i="2"/>
  <c r="B379" i="2"/>
  <c r="A379" i="2"/>
  <c r="E378" i="2"/>
  <c r="B378" i="2"/>
  <c r="A378" i="2"/>
  <c r="E377" i="2"/>
  <c r="B377" i="2"/>
  <c r="A377" i="2"/>
  <c r="E376" i="2"/>
  <c r="B376" i="2"/>
  <c r="A376" i="2"/>
  <c r="E375" i="2"/>
  <c r="B375" i="2"/>
  <c r="A375" i="2"/>
  <c r="E374" i="2"/>
  <c r="B374" i="2"/>
  <c r="A374" i="2"/>
  <c r="E373" i="2"/>
  <c r="B373" i="2"/>
  <c r="A373" i="2"/>
  <c r="E372" i="2"/>
  <c r="B372" i="2"/>
  <c r="A372" i="2"/>
  <c r="E371" i="2"/>
  <c r="B371" i="2"/>
  <c r="A371" i="2"/>
  <c r="E370" i="2"/>
  <c r="B370" i="2"/>
  <c r="A370" i="2"/>
  <c r="E369" i="2"/>
  <c r="B369" i="2"/>
  <c r="A369" i="2"/>
  <c r="E368" i="2"/>
  <c r="B368" i="2"/>
  <c r="A368" i="2"/>
  <c r="E367" i="2"/>
  <c r="B367" i="2"/>
  <c r="A367" i="2"/>
  <c r="E366" i="2"/>
  <c r="B366" i="2"/>
  <c r="A366" i="2"/>
  <c r="E365" i="2"/>
  <c r="B365" i="2"/>
  <c r="A365" i="2"/>
  <c r="E364" i="2"/>
  <c r="B364" i="2"/>
  <c r="A364" i="2"/>
  <c r="E363" i="2"/>
  <c r="B363" i="2"/>
  <c r="A363" i="2"/>
  <c r="E362" i="2"/>
  <c r="B362" i="2"/>
  <c r="A362" i="2"/>
  <c r="E361" i="2"/>
  <c r="B361" i="2"/>
  <c r="A361" i="2"/>
  <c r="E360" i="2"/>
  <c r="B360" i="2"/>
  <c r="A360" i="2"/>
  <c r="E359" i="2"/>
  <c r="B359" i="2"/>
  <c r="A359" i="2"/>
  <c r="E358" i="2"/>
  <c r="B358" i="2"/>
  <c r="A358" i="2"/>
  <c r="E357" i="2"/>
  <c r="B357" i="2"/>
  <c r="A357" i="2"/>
  <c r="E354" i="2"/>
  <c r="B354" i="2"/>
  <c r="A354" i="2"/>
  <c r="B356" i="2"/>
  <c r="A356" i="2"/>
  <c r="B355" i="2"/>
  <c r="A355" i="2"/>
  <c r="E351" i="2"/>
  <c r="B351" i="2"/>
  <c r="A351" i="2"/>
  <c r="B353" i="2"/>
  <c r="A353" i="2"/>
  <c r="B352" i="2"/>
  <c r="A352" i="2"/>
  <c r="E350" i="2"/>
  <c r="B350" i="2"/>
  <c r="A350" i="2"/>
  <c r="E349" i="2"/>
  <c r="B349" i="2"/>
  <c r="A349" i="2"/>
  <c r="E348" i="2"/>
  <c r="B348" i="2"/>
  <c r="A348" i="2"/>
  <c r="E347" i="2"/>
  <c r="B347" i="2"/>
  <c r="A347" i="2"/>
  <c r="E346" i="2"/>
  <c r="B346" i="2"/>
  <c r="A346" i="2"/>
  <c r="E345" i="2"/>
  <c r="B345" i="2"/>
  <c r="A345" i="2"/>
  <c r="E344" i="2"/>
  <c r="B344" i="2"/>
  <c r="A344" i="2"/>
  <c r="E343" i="2"/>
  <c r="B343" i="2"/>
  <c r="A343" i="2"/>
  <c r="E342" i="2"/>
  <c r="B342" i="2"/>
  <c r="A342" i="2"/>
  <c r="E339" i="2"/>
  <c r="B339" i="2"/>
  <c r="A339" i="2"/>
  <c r="B341" i="2"/>
  <c r="A341" i="2"/>
  <c r="B340" i="2"/>
  <c r="A340" i="2"/>
  <c r="E338" i="2"/>
  <c r="B338" i="2"/>
  <c r="A338" i="2"/>
  <c r="E337" i="2"/>
  <c r="B337" i="2"/>
  <c r="A337" i="2"/>
  <c r="E336" i="2"/>
  <c r="B336" i="2"/>
  <c r="A336" i="2"/>
  <c r="E335" i="2"/>
  <c r="B335" i="2"/>
  <c r="A335" i="2"/>
  <c r="E334" i="2"/>
  <c r="B334" i="2"/>
  <c r="A334" i="2"/>
  <c r="E333" i="2"/>
  <c r="B333" i="2"/>
  <c r="A333" i="2"/>
  <c r="E332" i="2"/>
  <c r="B332" i="2"/>
  <c r="A332" i="2"/>
  <c r="E331" i="2"/>
  <c r="B331" i="2"/>
  <c r="A331" i="2"/>
  <c r="E330" i="2"/>
  <c r="B330" i="2"/>
  <c r="A330" i="2"/>
  <c r="E329" i="2"/>
  <c r="B329" i="2"/>
  <c r="A329" i="2"/>
  <c r="E328" i="2"/>
  <c r="B328" i="2"/>
  <c r="A328" i="2"/>
  <c r="E327" i="2"/>
  <c r="B327" i="2"/>
  <c r="A327" i="2"/>
  <c r="E326" i="2"/>
  <c r="B326" i="2"/>
  <c r="A326" i="2"/>
  <c r="E325" i="2"/>
  <c r="B325" i="2"/>
  <c r="A325" i="2"/>
  <c r="E324" i="2"/>
  <c r="B324" i="2"/>
  <c r="A324" i="2"/>
  <c r="E323" i="2"/>
  <c r="B323" i="2"/>
  <c r="A323" i="2"/>
  <c r="E322" i="2"/>
  <c r="B322" i="2"/>
  <c r="A322" i="2"/>
  <c r="E321" i="2"/>
  <c r="B321" i="2"/>
  <c r="A321" i="2"/>
  <c r="E320" i="2"/>
  <c r="B320" i="2"/>
  <c r="A320" i="2"/>
  <c r="E319" i="2"/>
  <c r="B319" i="2"/>
  <c r="A319" i="2"/>
  <c r="E316" i="2"/>
  <c r="B316" i="2"/>
  <c r="A316" i="2"/>
  <c r="B318" i="2"/>
  <c r="A318" i="2"/>
  <c r="B317" i="2"/>
  <c r="A317" i="2"/>
  <c r="E315" i="2"/>
  <c r="B315" i="2"/>
  <c r="A315" i="2"/>
  <c r="E314" i="2"/>
  <c r="B314" i="2"/>
  <c r="A314" i="2"/>
  <c r="E313" i="2"/>
  <c r="B313" i="2"/>
  <c r="A313" i="2"/>
  <c r="E312" i="2"/>
  <c r="B312" i="2"/>
  <c r="A312" i="2"/>
  <c r="E311" i="2"/>
  <c r="B311" i="2"/>
  <c r="A311" i="2"/>
  <c r="E310" i="2"/>
  <c r="B310" i="2"/>
  <c r="A310" i="2"/>
  <c r="E307" i="2"/>
  <c r="B307" i="2"/>
  <c r="A307" i="2"/>
  <c r="B309" i="2"/>
  <c r="A309" i="2"/>
  <c r="B308" i="2"/>
  <c r="A308" i="2"/>
  <c r="E306" i="2"/>
  <c r="B306" i="2"/>
  <c r="A306" i="2"/>
  <c r="E301" i="2"/>
  <c r="B301" i="2"/>
  <c r="A301" i="2"/>
  <c r="B305" i="2"/>
  <c r="A305" i="2"/>
  <c r="B304" i="2"/>
  <c r="A304" i="2"/>
  <c r="B303" i="2"/>
  <c r="A303" i="2"/>
  <c r="B302" i="2"/>
  <c r="A302" i="2"/>
  <c r="E296" i="2"/>
  <c r="B296" i="2"/>
  <c r="A296" i="2"/>
  <c r="B300" i="2"/>
  <c r="A300" i="2"/>
  <c r="B299" i="2"/>
  <c r="A299" i="2"/>
  <c r="B298" i="2"/>
  <c r="A298" i="2"/>
  <c r="B297" i="2"/>
  <c r="A297" i="2"/>
  <c r="E291" i="2"/>
  <c r="B291" i="2"/>
  <c r="A291" i="2"/>
  <c r="B295" i="2"/>
  <c r="A295" i="2"/>
  <c r="B294" i="2"/>
  <c r="A294" i="2"/>
  <c r="B293" i="2"/>
  <c r="A293" i="2"/>
  <c r="B292" i="2"/>
  <c r="A292" i="2"/>
  <c r="E286" i="2"/>
  <c r="B286" i="2"/>
  <c r="A286" i="2"/>
  <c r="B290" i="2"/>
  <c r="A290" i="2"/>
  <c r="B289" i="2"/>
  <c r="A289" i="2"/>
  <c r="B288" i="2"/>
  <c r="A288" i="2"/>
  <c r="B287" i="2"/>
  <c r="A287" i="2"/>
  <c r="E281" i="2"/>
  <c r="B281" i="2"/>
  <c r="A281" i="2"/>
  <c r="B285" i="2"/>
  <c r="A285" i="2"/>
  <c r="B284" i="2"/>
  <c r="A284" i="2"/>
  <c r="B283" i="2"/>
  <c r="A283" i="2"/>
  <c r="B282" i="2"/>
  <c r="A282" i="2"/>
  <c r="E276" i="2"/>
  <c r="B276" i="2"/>
  <c r="A276" i="2"/>
  <c r="B280" i="2"/>
  <c r="A280" i="2"/>
  <c r="B279" i="2"/>
  <c r="A279" i="2"/>
  <c r="B278" i="2"/>
  <c r="A278" i="2"/>
  <c r="B277" i="2"/>
  <c r="A277" i="2"/>
  <c r="E271" i="2"/>
  <c r="B271" i="2"/>
  <c r="A271" i="2"/>
  <c r="B275" i="2"/>
  <c r="A275" i="2"/>
  <c r="B274" i="2"/>
  <c r="A274" i="2"/>
  <c r="B273" i="2"/>
  <c r="A273" i="2"/>
  <c r="B272" i="2"/>
  <c r="A272" i="2"/>
  <c r="E266" i="2"/>
  <c r="B266" i="2"/>
  <c r="A266" i="2"/>
  <c r="B270" i="2"/>
  <c r="A270" i="2"/>
  <c r="B269" i="2"/>
  <c r="A269" i="2"/>
  <c r="B268" i="2"/>
  <c r="A268" i="2"/>
  <c r="B267" i="2"/>
  <c r="A267" i="2"/>
  <c r="E257" i="2"/>
  <c r="B257" i="2"/>
  <c r="A257" i="2"/>
  <c r="B265" i="2"/>
  <c r="A265" i="2"/>
  <c r="B264" i="2"/>
  <c r="A264" i="2"/>
  <c r="B263" i="2"/>
  <c r="A263" i="2"/>
  <c r="B262" i="2"/>
  <c r="A262" i="2"/>
  <c r="B261" i="2"/>
  <c r="A261" i="2"/>
  <c r="B260" i="2"/>
  <c r="A260" i="2"/>
  <c r="B259" i="2"/>
  <c r="A259" i="2"/>
  <c r="B258" i="2"/>
  <c r="A258" i="2"/>
  <c r="E248" i="2"/>
  <c r="B248" i="2"/>
  <c r="A248" i="2"/>
  <c r="B256" i="2"/>
  <c r="A256" i="2"/>
  <c r="B255" i="2"/>
  <c r="A255" i="2"/>
  <c r="B254" i="2"/>
  <c r="A254" i="2"/>
  <c r="B253" i="2"/>
  <c r="A253" i="2"/>
  <c r="B252" i="2"/>
  <c r="A252" i="2"/>
  <c r="B251" i="2"/>
  <c r="A251" i="2"/>
  <c r="B250" i="2"/>
  <c r="A250" i="2"/>
  <c r="B249" i="2"/>
  <c r="A249" i="2"/>
  <c r="E239" i="2"/>
  <c r="B239" i="2"/>
  <c r="A239" i="2"/>
  <c r="B247" i="2"/>
  <c r="A247" i="2"/>
  <c r="B246" i="2"/>
  <c r="A246" i="2"/>
  <c r="B245" i="2"/>
  <c r="A245" i="2"/>
  <c r="B244" i="2"/>
  <c r="A244" i="2"/>
  <c r="B243" i="2"/>
  <c r="A243" i="2"/>
  <c r="B242" i="2"/>
  <c r="A242" i="2"/>
  <c r="B241" i="2"/>
  <c r="A241" i="2"/>
  <c r="B240" i="2"/>
  <c r="A240" i="2"/>
  <c r="E238" i="2"/>
  <c r="B238" i="2"/>
  <c r="A238" i="2"/>
  <c r="E237" i="2"/>
  <c r="B237" i="2"/>
  <c r="A237" i="2"/>
  <c r="E236" i="2"/>
  <c r="B236" i="2"/>
  <c r="A236" i="2"/>
  <c r="E235" i="2"/>
  <c r="B235" i="2"/>
  <c r="A235" i="2"/>
  <c r="E234" i="2"/>
  <c r="B234" i="2"/>
  <c r="A234" i="2"/>
  <c r="E231" i="2"/>
  <c r="B231" i="2"/>
  <c r="A231" i="2"/>
  <c r="B233" i="2"/>
  <c r="A233" i="2"/>
  <c r="B232" i="2"/>
  <c r="A232" i="2"/>
  <c r="E230" i="2"/>
  <c r="B230" i="2"/>
  <c r="A230" i="2"/>
  <c r="E229" i="2"/>
  <c r="B229" i="2"/>
  <c r="A229" i="2"/>
  <c r="E224" i="2"/>
  <c r="B224" i="2"/>
  <c r="A224" i="2"/>
  <c r="B228" i="2"/>
  <c r="A228" i="2"/>
  <c r="B227" i="2"/>
  <c r="A227" i="2"/>
  <c r="B226" i="2"/>
  <c r="A226" i="2"/>
  <c r="B225" i="2"/>
  <c r="A225" i="2"/>
  <c r="E219" i="2"/>
  <c r="B219" i="2"/>
  <c r="A219" i="2"/>
  <c r="B223" i="2"/>
  <c r="A223" i="2"/>
  <c r="B222" i="2"/>
  <c r="A222" i="2"/>
  <c r="B221" i="2"/>
  <c r="A221" i="2"/>
  <c r="B220" i="2"/>
  <c r="A220" i="2"/>
  <c r="E214" i="2"/>
  <c r="B214" i="2"/>
  <c r="A214" i="2"/>
  <c r="B218" i="2"/>
  <c r="A218" i="2"/>
  <c r="B217" i="2"/>
  <c r="A217" i="2"/>
  <c r="B216" i="2"/>
  <c r="A216" i="2"/>
  <c r="B215" i="2"/>
  <c r="A215" i="2"/>
  <c r="E209" i="2"/>
  <c r="B209" i="2"/>
  <c r="A209" i="2"/>
  <c r="B213" i="2"/>
  <c r="A213" i="2"/>
  <c r="B212" i="2"/>
  <c r="A212" i="2"/>
  <c r="B211" i="2"/>
  <c r="A211" i="2"/>
  <c r="B210" i="2"/>
  <c r="A210" i="2"/>
  <c r="E204" i="2"/>
  <c r="B204" i="2"/>
  <c r="A204" i="2"/>
  <c r="B208" i="2"/>
  <c r="A208" i="2"/>
  <c r="B207" i="2"/>
  <c r="A207" i="2"/>
  <c r="B206" i="2"/>
  <c r="A206" i="2"/>
  <c r="B205" i="2"/>
  <c r="A205" i="2"/>
  <c r="E199" i="2"/>
  <c r="B199" i="2"/>
  <c r="A199" i="2"/>
  <c r="B203" i="2"/>
  <c r="A203" i="2"/>
  <c r="B202" i="2"/>
  <c r="A202" i="2"/>
  <c r="B201" i="2"/>
  <c r="A201" i="2"/>
  <c r="B200" i="2"/>
  <c r="A200" i="2"/>
  <c r="E194" i="2"/>
  <c r="B194" i="2"/>
  <c r="A194" i="2"/>
  <c r="B198" i="2"/>
  <c r="A198" i="2"/>
  <c r="B197" i="2"/>
  <c r="A197" i="2"/>
  <c r="B196" i="2"/>
  <c r="A196" i="2"/>
  <c r="B195" i="2"/>
  <c r="A195" i="2"/>
  <c r="E189" i="2"/>
  <c r="B189" i="2"/>
  <c r="A189" i="2"/>
  <c r="B193" i="2"/>
  <c r="A193" i="2"/>
  <c r="B192" i="2"/>
  <c r="A192" i="2"/>
  <c r="B191" i="2"/>
  <c r="A191" i="2"/>
  <c r="B190" i="2"/>
  <c r="A190" i="2"/>
  <c r="E184" i="2"/>
  <c r="B184" i="2"/>
  <c r="A184" i="2"/>
  <c r="B188" i="2"/>
  <c r="A188" i="2"/>
  <c r="B187" i="2"/>
  <c r="A187" i="2"/>
  <c r="B186" i="2"/>
  <c r="A186" i="2"/>
  <c r="B185" i="2"/>
  <c r="A185" i="2"/>
  <c r="E181" i="2"/>
  <c r="B181" i="2"/>
  <c r="A181" i="2"/>
  <c r="B183" i="2"/>
  <c r="A183" i="2"/>
  <c r="B182" i="2"/>
  <c r="A182" i="2"/>
  <c r="E178" i="2"/>
  <c r="B178" i="2"/>
  <c r="A178" i="2"/>
  <c r="B180" i="2"/>
  <c r="A180" i="2"/>
  <c r="B179" i="2"/>
  <c r="A179" i="2"/>
  <c r="E175" i="2"/>
  <c r="B175" i="2"/>
  <c r="A175" i="2"/>
  <c r="B177" i="2"/>
  <c r="A177" i="2"/>
  <c r="B176" i="2"/>
  <c r="A176" i="2"/>
  <c r="E172" i="2"/>
  <c r="B172" i="2"/>
  <c r="A172" i="2"/>
  <c r="B174" i="2"/>
  <c r="A174" i="2"/>
  <c r="B173" i="2"/>
  <c r="A173" i="2"/>
  <c r="E169" i="2"/>
  <c r="B169" i="2"/>
  <c r="A169" i="2"/>
  <c r="B171" i="2"/>
  <c r="A171" i="2"/>
  <c r="B170" i="2"/>
  <c r="A170" i="2"/>
  <c r="E166" i="2"/>
  <c r="B166" i="2"/>
  <c r="A166" i="2"/>
  <c r="B168" i="2"/>
  <c r="A168" i="2"/>
  <c r="B167" i="2"/>
  <c r="A167" i="2"/>
  <c r="E163" i="2"/>
  <c r="B163" i="2"/>
  <c r="A163" i="2"/>
  <c r="B165" i="2"/>
  <c r="A165" i="2"/>
  <c r="B164" i="2"/>
  <c r="A164" i="2"/>
  <c r="E160" i="2"/>
  <c r="B160" i="2"/>
  <c r="A160" i="2"/>
  <c r="B162" i="2"/>
  <c r="A162" i="2"/>
  <c r="B161" i="2"/>
  <c r="A161" i="2"/>
  <c r="E157" i="2"/>
  <c r="B157" i="2"/>
  <c r="A157" i="2"/>
  <c r="B159" i="2"/>
  <c r="A159" i="2"/>
  <c r="B158" i="2"/>
  <c r="A158" i="2"/>
  <c r="E154" i="2"/>
  <c r="B154" i="2"/>
  <c r="A154" i="2"/>
  <c r="B156" i="2"/>
  <c r="A156" i="2"/>
  <c r="B155" i="2"/>
  <c r="A155" i="2"/>
  <c r="E151" i="2"/>
  <c r="B151" i="2"/>
  <c r="A151" i="2"/>
  <c r="B153" i="2"/>
  <c r="A153" i="2"/>
  <c r="B152" i="2"/>
  <c r="A152" i="2"/>
  <c r="E148" i="2"/>
  <c r="B148" i="2"/>
  <c r="A148" i="2"/>
  <c r="B150" i="2"/>
  <c r="A150" i="2"/>
  <c r="B149" i="2"/>
  <c r="A149" i="2"/>
  <c r="E145" i="2"/>
  <c r="B145" i="2"/>
  <c r="A145" i="2"/>
  <c r="B147" i="2"/>
  <c r="A147" i="2"/>
  <c r="B146" i="2"/>
  <c r="A146" i="2"/>
  <c r="E142" i="2"/>
  <c r="B142" i="2"/>
  <c r="A142" i="2"/>
  <c r="B144" i="2"/>
  <c r="A144" i="2"/>
  <c r="B143" i="2"/>
  <c r="A143" i="2"/>
  <c r="E139" i="2"/>
  <c r="B139" i="2"/>
  <c r="A139" i="2"/>
  <c r="B141" i="2"/>
  <c r="A141" i="2"/>
  <c r="B140" i="2"/>
  <c r="A140" i="2"/>
  <c r="E136" i="2"/>
  <c r="B136" i="2"/>
  <c r="A136" i="2"/>
  <c r="B138" i="2"/>
  <c r="A138" i="2"/>
  <c r="B137" i="2"/>
  <c r="A137" i="2"/>
  <c r="E133" i="2"/>
  <c r="B133" i="2"/>
  <c r="A133" i="2"/>
  <c r="B135" i="2"/>
  <c r="A135" i="2"/>
  <c r="B134" i="2"/>
  <c r="A134" i="2"/>
  <c r="E130" i="2"/>
  <c r="B130" i="2"/>
  <c r="A130" i="2"/>
  <c r="B132" i="2"/>
  <c r="A132" i="2"/>
  <c r="B131" i="2"/>
  <c r="A131" i="2"/>
  <c r="E127" i="2"/>
  <c r="B127" i="2"/>
  <c r="A127" i="2"/>
  <c r="B129" i="2"/>
  <c r="A129" i="2"/>
  <c r="B128" i="2"/>
  <c r="A128" i="2"/>
  <c r="E124" i="2"/>
  <c r="B124" i="2"/>
  <c r="A124" i="2"/>
  <c r="B126" i="2"/>
  <c r="A126" i="2"/>
  <c r="B125" i="2"/>
  <c r="A125" i="2"/>
  <c r="E121" i="2"/>
  <c r="B121" i="2"/>
  <c r="A121" i="2"/>
  <c r="B123" i="2"/>
  <c r="A123" i="2"/>
  <c r="B122" i="2"/>
  <c r="A122" i="2"/>
  <c r="E118" i="2"/>
  <c r="B118" i="2"/>
  <c r="A118" i="2"/>
  <c r="B120" i="2"/>
  <c r="A120" i="2"/>
  <c r="B119" i="2"/>
  <c r="A119" i="2"/>
  <c r="E115" i="2"/>
  <c r="B115" i="2"/>
  <c r="A115" i="2"/>
  <c r="B117" i="2"/>
  <c r="A117" i="2"/>
  <c r="B116" i="2"/>
  <c r="A116" i="2"/>
  <c r="E112" i="2"/>
  <c r="B112" i="2"/>
  <c r="A112" i="2"/>
  <c r="B114" i="2"/>
  <c r="A114" i="2"/>
  <c r="B113" i="2"/>
  <c r="A113" i="2"/>
  <c r="E109" i="2"/>
  <c r="B109" i="2"/>
  <c r="A109" i="2"/>
  <c r="B111" i="2"/>
  <c r="A111" i="2"/>
  <c r="B110" i="2"/>
  <c r="A110" i="2"/>
  <c r="E105" i="2"/>
  <c r="B105" i="2"/>
  <c r="A105" i="2"/>
  <c r="B108" i="2"/>
  <c r="A108" i="2"/>
  <c r="B107" i="2"/>
  <c r="A107" i="2"/>
  <c r="B106" i="2"/>
  <c r="A106" i="2"/>
  <c r="E101" i="2"/>
  <c r="B101" i="2"/>
  <c r="A101" i="2"/>
  <c r="B104" i="2"/>
  <c r="A104" i="2"/>
  <c r="B103" i="2"/>
  <c r="A103" i="2"/>
  <c r="B102" i="2"/>
  <c r="A102" i="2"/>
  <c r="E97" i="2"/>
  <c r="B97" i="2"/>
  <c r="A97" i="2"/>
  <c r="B100" i="2"/>
  <c r="A100" i="2"/>
  <c r="B99" i="2"/>
  <c r="A99" i="2"/>
  <c r="B98" i="2"/>
  <c r="A98" i="2"/>
  <c r="E93" i="2"/>
  <c r="B93" i="2"/>
  <c r="A93" i="2"/>
  <c r="B96" i="2"/>
  <c r="A96" i="2"/>
  <c r="B95" i="2"/>
  <c r="A95" i="2"/>
  <c r="B94" i="2"/>
  <c r="A94" i="2"/>
  <c r="E89" i="2"/>
  <c r="B89" i="2"/>
  <c r="A89" i="2"/>
  <c r="B92" i="2"/>
  <c r="A92" i="2"/>
  <c r="B91" i="2"/>
  <c r="A91" i="2"/>
  <c r="B90" i="2"/>
  <c r="A90" i="2"/>
  <c r="E85" i="2"/>
  <c r="B85" i="2"/>
  <c r="A85" i="2"/>
  <c r="B88" i="2"/>
  <c r="A88" i="2"/>
  <c r="B87" i="2"/>
  <c r="A87" i="2"/>
  <c r="B86" i="2"/>
  <c r="A86" i="2"/>
  <c r="E81" i="2"/>
  <c r="B81" i="2"/>
  <c r="A81" i="2"/>
  <c r="B84" i="2"/>
  <c r="A84" i="2"/>
  <c r="B83" i="2"/>
  <c r="A83" i="2"/>
  <c r="B82" i="2"/>
  <c r="A82" i="2"/>
  <c r="E77" i="2"/>
  <c r="B77" i="2"/>
  <c r="A77" i="2"/>
  <c r="B80" i="2"/>
  <c r="A80" i="2"/>
  <c r="B79" i="2"/>
  <c r="A79" i="2"/>
  <c r="B78" i="2"/>
  <c r="A78" i="2"/>
  <c r="E73" i="2"/>
  <c r="B73" i="2"/>
  <c r="A73" i="2"/>
  <c r="B76" i="2"/>
  <c r="A76" i="2"/>
  <c r="B75" i="2"/>
  <c r="A75" i="2"/>
  <c r="B74" i="2"/>
  <c r="A74" i="2"/>
  <c r="E69" i="2"/>
  <c r="B69" i="2"/>
  <c r="A69" i="2"/>
  <c r="B72" i="2"/>
  <c r="A72" i="2"/>
  <c r="B71" i="2"/>
  <c r="A71" i="2"/>
  <c r="B70" i="2"/>
  <c r="A70" i="2"/>
  <c r="E65" i="2"/>
  <c r="B65" i="2"/>
  <c r="A65" i="2"/>
  <c r="B68" i="2"/>
  <c r="A68" i="2"/>
  <c r="B67" i="2"/>
  <c r="A67" i="2"/>
  <c r="B66" i="2"/>
  <c r="A66" i="2"/>
  <c r="E61" i="2"/>
  <c r="B61" i="2"/>
  <c r="A61" i="2"/>
  <c r="B64" i="2"/>
  <c r="A64" i="2"/>
  <c r="B63" i="2"/>
  <c r="A63" i="2"/>
  <c r="B62" i="2"/>
  <c r="A62" i="2"/>
  <c r="E57" i="2"/>
  <c r="B57" i="2"/>
  <c r="A57" i="2"/>
  <c r="B59" i="2"/>
  <c r="A59" i="2"/>
  <c r="B58" i="2"/>
  <c r="A58" i="2"/>
  <c r="B60" i="2"/>
  <c r="A60" i="2"/>
  <c r="E53" i="2"/>
  <c r="B53" i="2"/>
  <c r="A53" i="2"/>
  <c r="B56" i="2"/>
  <c r="A56" i="2"/>
  <c r="B55" i="2"/>
  <c r="A55" i="2"/>
  <c r="B54" i="2"/>
  <c r="A54" i="2"/>
  <c r="E49" i="2"/>
  <c r="B49" i="2"/>
  <c r="A49" i="2"/>
  <c r="B52" i="2"/>
  <c r="A52" i="2"/>
  <c r="B51" i="2"/>
  <c r="A51" i="2"/>
  <c r="B50" i="2"/>
  <c r="A50" i="2"/>
  <c r="E45" i="2"/>
  <c r="B45" i="2"/>
  <c r="A45" i="2"/>
  <c r="B48" i="2"/>
  <c r="A48" i="2"/>
  <c r="B47" i="2"/>
  <c r="A47" i="2"/>
  <c r="B46" i="2"/>
  <c r="A46" i="2"/>
  <c r="E41" i="2"/>
  <c r="B41" i="2"/>
  <c r="A41" i="2"/>
  <c r="B44" i="2"/>
  <c r="A44" i="2"/>
  <c r="B43" i="2"/>
  <c r="A43" i="2"/>
  <c r="B42" i="2"/>
  <c r="A42" i="2"/>
  <c r="E37" i="2"/>
  <c r="B37" i="2"/>
  <c r="A37" i="2"/>
  <c r="B40" i="2"/>
  <c r="A40" i="2"/>
  <c r="B39" i="2"/>
  <c r="A39" i="2"/>
  <c r="B38" i="2"/>
  <c r="A38" i="2"/>
  <c r="E33" i="2"/>
  <c r="B33" i="2"/>
  <c r="A33" i="2"/>
  <c r="B36" i="2"/>
  <c r="A36" i="2"/>
  <c r="B35" i="2"/>
  <c r="A35" i="2"/>
  <c r="B34" i="2"/>
  <c r="A34" i="2"/>
  <c r="E29" i="2"/>
  <c r="B29" i="2"/>
  <c r="A29" i="2"/>
  <c r="B32" i="2"/>
  <c r="A32" i="2"/>
  <c r="B31" i="2"/>
  <c r="A31" i="2"/>
  <c r="B30" i="2"/>
  <c r="A30" i="2"/>
  <c r="E25" i="2"/>
  <c r="B25" i="2"/>
  <c r="A25" i="2"/>
  <c r="B27" i="2"/>
  <c r="A27" i="2"/>
  <c r="B28" i="2"/>
  <c r="A28" i="2"/>
  <c r="B26" i="2"/>
  <c r="A26" i="2"/>
  <c r="E21" i="2"/>
  <c r="B21" i="2"/>
  <c r="A21" i="2"/>
  <c r="B24" i="2"/>
  <c r="A24" i="2"/>
  <c r="B23" i="2"/>
  <c r="A23" i="2"/>
  <c r="B22" i="2"/>
  <c r="A22" i="2"/>
  <c r="E20" i="2"/>
  <c r="B20" i="2"/>
  <c r="A20" i="2"/>
  <c r="E19" i="2"/>
  <c r="B19" i="2"/>
  <c r="A19" i="2"/>
  <c r="E18" i="2"/>
  <c r="B18" i="2"/>
  <c r="A18" i="2"/>
  <c r="E17" i="2"/>
  <c r="B17" i="2"/>
  <c r="A17" i="2"/>
  <c r="E16" i="2"/>
  <c r="B16" i="2"/>
  <c r="A16" i="2"/>
  <c r="E15" i="2"/>
  <c r="B15" i="2"/>
  <c r="A15" i="2"/>
  <c r="E14" i="2"/>
  <c r="B14" i="2"/>
  <c r="A14" i="2"/>
  <c r="E13" i="2"/>
  <c r="B13" i="2"/>
  <c r="A13" i="2"/>
  <c r="E12" i="2"/>
  <c r="B12" i="2"/>
  <c r="A12" i="2"/>
  <c r="E11" i="2"/>
  <c r="B11" i="2"/>
  <c r="A11" i="2"/>
  <c r="E10" i="2"/>
  <c r="B10" i="2"/>
  <c r="A10" i="2"/>
  <c r="E9" i="2"/>
  <c r="B9" i="2"/>
  <c r="A9" i="2"/>
  <c r="E8" i="2"/>
  <c r="B8" i="2"/>
  <c r="A8" i="2"/>
</calcChain>
</file>

<file path=xl/sharedStrings.xml><?xml version="1.0" encoding="utf-8"?>
<sst xmlns="http://schemas.openxmlformats.org/spreadsheetml/2006/main" count="4046" uniqueCount="27">
  <si>
    <t>Jahresprogramm 2025</t>
  </si>
  <si>
    <t>Themen, Termine, Preise - Stand 08/2025</t>
  </si>
  <si>
    <t xml:space="preserve">Bitte beachten Sie, dass diese Übersicht ausschließlich zur Information und Verwendung innerhalb der Fortbildungsstellen dient. </t>
  </si>
  <si>
    <t>Kennziffer</t>
  </si>
  <si>
    <t>Veranstaltung</t>
  </si>
  <si>
    <t>von</t>
  </si>
  <si>
    <t>Bis</t>
  </si>
  <si>
    <t>Dauer</t>
  </si>
  <si>
    <t>Gebühr</t>
  </si>
  <si>
    <t>Statistik Gleichstellung</t>
  </si>
  <si>
    <t>Hinweis</t>
  </si>
  <si>
    <t/>
  </si>
  <si>
    <t>2 Tage</t>
  </si>
  <si>
    <t>Kostenpflichtig</t>
  </si>
  <si>
    <t>Fachbezogenes Seminar</t>
  </si>
  <si>
    <t>2x2 Tage, 1 Tag Online, 3 Tage</t>
  </si>
  <si>
    <t>7 Tage Präsenz, 3 Onlinephasen</t>
  </si>
  <si>
    <t>Fachübergreifendes Seminar</t>
  </si>
  <si>
    <t>Führungsfortbildung</t>
  </si>
  <si>
    <t>2x1 Tag</t>
  </si>
  <si>
    <t>bis</t>
  </si>
  <si>
    <t>0,5 Tage</t>
  </si>
  <si>
    <t>kostenpflichtig</t>
  </si>
  <si>
    <t>SAP</t>
  </si>
  <si>
    <t>Themen, Termine, Preise - Stand 09/24</t>
  </si>
  <si>
    <r>
      <t xml:space="preserve">Anmeldungen sind </t>
    </r>
    <r>
      <rPr>
        <b/>
        <u/>
        <sz val="10"/>
        <color rgb="FFC00000"/>
        <rFont val="Arial"/>
        <family val="2"/>
      </rPr>
      <t>ausschließlich über das Online-Buchungssystem</t>
    </r>
    <r>
      <rPr>
        <b/>
        <sz val="10"/>
        <color rgb="FFC00000"/>
        <rFont val="Arial"/>
        <family val="2"/>
      </rPr>
      <t xml:space="preserve"> und </t>
    </r>
    <r>
      <rPr>
        <b/>
        <u/>
        <sz val="10"/>
        <color rgb="FFC00000"/>
        <rFont val="Arial"/>
        <family val="2"/>
      </rPr>
      <t>erst ab dem 25. September 2024</t>
    </r>
    <r>
      <rPr>
        <b/>
        <sz val="10"/>
        <color rgb="FFC00000"/>
        <rFont val="Arial"/>
        <family val="2"/>
      </rPr>
      <t xml:space="preserve"> möglich. Vorherige Anmeldeversuche per E-Mail oder Telefon werden nicht berücksichtigt. </t>
    </r>
  </si>
  <si>
    <t>Achtung: Diese Terminübersicht dient nur zur Informationen. Maßgeblich sind die Termine/Preise/Angebote ab dem Tag der Veröffentlichung.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</si>
</sst>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\ &quot;Euro&quot;"/>
    <numFmt numFmtId="165" formatCode="#,##0\ &quot;Euro&quot;"/>
  </numFmts>
  <fonts count="9" x14ac:knownFonts="1">
    <font>
      <sz val="10"/>
      <name val="Arial"/>
    </font>
    <font>
      <sz val="10"/>
      <color rgb="FF56514D"/>
      <name val="Arial"/>
      <family val="2"/>
    </font>
    <font>
      <b/>
      <sz val="25"/>
      <color rgb="FF56514D"/>
      <name val="Arial"/>
      <family val="2"/>
    </font>
    <font>
      <sz val="14"/>
      <color rgb="FF56514D"/>
      <name val="Arial"/>
      <family val="2"/>
    </font>
    <font>
      <b/>
      <sz val="10"/>
      <color rgb="FF56514D"/>
      <name val="Arial"/>
      <family val="2"/>
    </font>
    <font>
      <sz val="15"/>
      <color rgb="FF56514D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BD4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4" fillId="2" borderId="4" xfId="0" applyFont="1" applyFill="1" applyBorder="1"/>
    <xf numFmtId="0" fontId="4" fillId="2" borderId="1" xfId="0" applyFont="1" applyFill="1" applyBorder="1"/>
    <xf numFmtId="0" fontId="1" fillId="0" borderId="4" xfId="0" applyFont="1" applyBorder="1"/>
    <xf numFmtId="14" fontId="1" fillId="0" borderId="4" xfId="0" applyNumberFormat="1" applyFont="1" applyBorder="1"/>
    <xf numFmtId="164" fontId="1" fillId="0" borderId="4" xfId="0" applyNumberFormat="1" applyFont="1" applyBorder="1"/>
    <xf numFmtId="0" fontId="1" fillId="0" borderId="9" xfId="0" applyFont="1" applyBorder="1"/>
    <xf numFmtId="14" fontId="1" fillId="0" borderId="9" xfId="0" applyNumberFormat="1" applyFont="1" applyBorder="1"/>
    <xf numFmtId="164" fontId="1" fillId="0" borderId="9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4" fillId="2" borderId="10" xfId="0" applyFont="1" applyFill="1" applyBorder="1"/>
    <xf numFmtId="0" fontId="1" fillId="0" borderId="5" xfId="0" applyFont="1" applyBorder="1"/>
    <xf numFmtId="0" fontId="1" fillId="0" borderId="0" xfId="0" applyFont="1" applyBorder="1"/>
    <xf numFmtId="165" fontId="1" fillId="0" borderId="6" xfId="0" applyNumberFormat="1" applyFont="1" applyBorder="1"/>
    <xf numFmtId="165" fontId="4" fillId="2" borderId="1" xfId="0" applyNumberFormat="1" applyFont="1" applyFill="1" applyBorder="1"/>
    <xf numFmtId="165" fontId="1" fillId="0" borderId="4" xfId="0" applyNumberFormat="1" applyFont="1" applyBorder="1"/>
    <xf numFmtId="165" fontId="1" fillId="0" borderId="9" xfId="0" applyNumberFormat="1" applyFont="1" applyBorder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Standard" xfId="0" builtinId="0"/>
    <cellStyle name="Standard_Tabelle1" xfId="1" xr:uid="{A3B0554D-A72A-4DFB-95F2-0B409BEAA55E}"/>
  </cellStyles>
  <dxfs count="0"/>
  <tableStyles count="0" defaultTableStyle="TableStyleMedium2" defaultPivotStyle="PivotStyleLight16"/>
  <colors>
    <mruColors>
      <color rgb="FFF2BD4E"/>
      <color rgb="FF5651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0</xdr:col>
      <xdr:colOff>1590675</xdr:colOff>
      <xdr:row>5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A6E5A6-6DD3-4CFE-B36E-C66AE95D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4825"/>
          <a:ext cx="1571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1</xdr:row>
      <xdr:rowOff>133350</xdr:rowOff>
    </xdr:from>
    <xdr:to>
      <xdr:col>7</xdr:col>
      <xdr:colOff>628650</xdr:colOff>
      <xdr:row>4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42302C1-622F-44AC-8478-D92D58E2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19125"/>
          <a:ext cx="2085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1219851</xdr:colOff>
      <xdr:row>27</xdr:row>
      <xdr:rowOff>57150</xdr:rowOff>
    </xdr:from>
    <xdr:ext cx="6040628" cy="623248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F3DF5807-FC89-4EC6-933D-D2FD2604557A}"/>
            </a:ext>
          </a:extLst>
        </xdr:cNvPr>
        <xdr:cNvSpPr/>
      </xdr:nvSpPr>
      <xdr:spPr>
        <a:xfrm rot="20698106">
          <a:off x="2867676" y="517207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1266825</xdr:colOff>
      <xdr:row>65</xdr:row>
      <xdr:rowOff>66676</xdr:rowOff>
    </xdr:from>
    <xdr:ext cx="6040628" cy="623248"/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74545387-5DCF-4138-B82F-65F875502BEF}"/>
            </a:ext>
          </a:extLst>
        </xdr:cNvPr>
        <xdr:cNvSpPr/>
      </xdr:nvSpPr>
      <xdr:spPr>
        <a:xfrm rot="20698106">
          <a:off x="2914650" y="11334751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1266826</xdr:colOff>
      <xdr:row>111</xdr:row>
      <xdr:rowOff>47625</xdr:rowOff>
    </xdr:from>
    <xdr:ext cx="6040628" cy="623248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76B93230-8129-467F-AC48-C84A74D583F7}"/>
            </a:ext>
          </a:extLst>
        </xdr:cNvPr>
        <xdr:cNvSpPr/>
      </xdr:nvSpPr>
      <xdr:spPr>
        <a:xfrm rot="20698106">
          <a:off x="2914651" y="1876425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1276351</xdr:colOff>
      <xdr:row>153</xdr:row>
      <xdr:rowOff>76200</xdr:rowOff>
    </xdr:from>
    <xdr:ext cx="6040628" cy="623248"/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F75A3EBE-B91A-4A96-99DF-CEF64006569B}"/>
            </a:ext>
          </a:extLst>
        </xdr:cNvPr>
        <xdr:cNvSpPr/>
      </xdr:nvSpPr>
      <xdr:spPr>
        <a:xfrm rot="20698106">
          <a:off x="2924176" y="2559367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1257300</xdr:colOff>
      <xdr:row>200</xdr:row>
      <xdr:rowOff>76200</xdr:rowOff>
    </xdr:from>
    <xdr:ext cx="6040628" cy="623248"/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43E5CA3D-262A-4738-9C00-8A1A8AD82E79}"/>
            </a:ext>
          </a:extLst>
        </xdr:cNvPr>
        <xdr:cNvSpPr/>
      </xdr:nvSpPr>
      <xdr:spPr>
        <a:xfrm rot="20698106">
          <a:off x="2905125" y="3320415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1257300</xdr:colOff>
      <xdr:row>248</xdr:row>
      <xdr:rowOff>85724</xdr:rowOff>
    </xdr:from>
    <xdr:ext cx="6040628" cy="623248"/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9A45992C-A3A2-4DFD-9942-803C2F82B041}"/>
            </a:ext>
          </a:extLst>
        </xdr:cNvPr>
        <xdr:cNvSpPr/>
      </xdr:nvSpPr>
      <xdr:spPr>
        <a:xfrm rot="20698106">
          <a:off x="2905125" y="40986074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1238250</xdr:colOff>
      <xdr:row>301</xdr:row>
      <xdr:rowOff>47625</xdr:rowOff>
    </xdr:from>
    <xdr:ext cx="6040628" cy="623248"/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DA0352DB-9BC6-468B-BD72-C656099A17CF}"/>
            </a:ext>
          </a:extLst>
        </xdr:cNvPr>
        <xdr:cNvSpPr/>
      </xdr:nvSpPr>
      <xdr:spPr>
        <a:xfrm rot="20698106">
          <a:off x="2886075" y="4953000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1276349</xdr:colOff>
      <xdr:row>369</xdr:row>
      <xdr:rowOff>19050</xdr:rowOff>
    </xdr:from>
    <xdr:ext cx="6040628" cy="623248"/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5BAEF819-104A-45D7-8DB3-447979E512E4}"/>
            </a:ext>
          </a:extLst>
        </xdr:cNvPr>
        <xdr:cNvSpPr/>
      </xdr:nvSpPr>
      <xdr:spPr>
        <a:xfrm rot="20698106">
          <a:off x="2924174" y="6051232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1247776</xdr:colOff>
      <xdr:row>422</xdr:row>
      <xdr:rowOff>38100</xdr:rowOff>
    </xdr:from>
    <xdr:ext cx="6040628" cy="623248"/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157183A4-4A78-4567-8ECA-3BD8AB044749}"/>
            </a:ext>
          </a:extLst>
        </xdr:cNvPr>
        <xdr:cNvSpPr/>
      </xdr:nvSpPr>
      <xdr:spPr>
        <a:xfrm rot="20698106">
          <a:off x="2895601" y="6911340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1247775</xdr:colOff>
      <xdr:row>480</xdr:row>
      <xdr:rowOff>142875</xdr:rowOff>
    </xdr:from>
    <xdr:ext cx="6040628" cy="623248"/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2072E0E9-8894-46F7-9C85-23306776A99C}"/>
            </a:ext>
          </a:extLst>
        </xdr:cNvPr>
        <xdr:cNvSpPr/>
      </xdr:nvSpPr>
      <xdr:spPr>
        <a:xfrm rot="20698106">
          <a:off x="2895600" y="7860982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1257301</xdr:colOff>
      <xdr:row>522</xdr:row>
      <xdr:rowOff>142875</xdr:rowOff>
    </xdr:from>
    <xdr:ext cx="6040628" cy="623248"/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D8CAA14F-5FF0-4762-83F5-6B0313E98946}"/>
            </a:ext>
          </a:extLst>
        </xdr:cNvPr>
        <xdr:cNvSpPr/>
      </xdr:nvSpPr>
      <xdr:spPr>
        <a:xfrm rot="20698106">
          <a:off x="2905126" y="8541067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1257299</xdr:colOff>
      <xdr:row>571</xdr:row>
      <xdr:rowOff>95250</xdr:rowOff>
    </xdr:from>
    <xdr:ext cx="6040628" cy="623248"/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8D829F5A-8A07-4C4F-945F-D191C46D8AB2}"/>
            </a:ext>
          </a:extLst>
        </xdr:cNvPr>
        <xdr:cNvSpPr/>
      </xdr:nvSpPr>
      <xdr:spPr>
        <a:xfrm rot="20698106">
          <a:off x="2905124" y="9329737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1266826</xdr:colOff>
      <xdr:row>617</xdr:row>
      <xdr:rowOff>9525</xdr:rowOff>
    </xdr:from>
    <xdr:ext cx="6040628" cy="623248"/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3E22ACD4-2E36-43A4-8E94-632DD6270340}"/>
            </a:ext>
          </a:extLst>
        </xdr:cNvPr>
        <xdr:cNvSpPr/>
      </xdr:nvSpPr>
      <xdr:spPr>
        <a:xfrm rot="20698106">
          <a:off x="2914651" y="10066020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1238250</xdr:colOff>
      <xdr:row>685</xdr:row>
      <xdr:rowOff>123825</xdr:rowOff>
    </xdr:from>
    <xdr:ext cx="6040628" cy="623248"/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61255805-57F3-4D27-9850-D2D616515C8F}"/>
            </a:ext>
          </a:extLst>
        </xdr:cNvPr>
        <xdr:cNvSpPr/>
      </xdr:nvSpPr>
      <xdr:spPr>
        <a:xfrm rot="20698106">
          <a:off x="2886075" y="11178540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1190625</xdr:colOff>
      <xdr:row>745</xdr:row>
      <xdr:rowOff>57151</xdr:rowOff>
    </xdr:from>
    <xdr:ext cx="6040628" cy="623248"/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A5235574-8351-4B0B-A4B7-7A66EC832ACF}"/>
            </a:ext>
          </a:extLst>
        </xdr:cNvPr>
        <xdr:cNvSpPr/>
      </xdr:nvSpPr>
      <xdr:spPr>
        <a:xfrm rot="20698106">
          <a:off x="2838450" y="121434226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1238251</xdr:colOff>
      <xdr:row>790</xdr:row>
      <xdr:rowOff>47625</xdr:rowOff>
    </xdr:from>
    <xdr:ext cx="6040628" cy="623248"/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CDB150B7-B18E-4D18-99EA-D0B4A6B58095}"/>
            </a:ext>
          </a:extLst>
        </xdr:cNvPr>
        <xdr:cNvSpPr/>
      </xdr:nvSpPr>
      <xdr:spPr>
        <a:xfrm rot="20698106">
          <a:off x="2886076" y="12871132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1209674</xdr:colOff>
      <xdr:row>839</xdr:row>
      <xdr:rowOff>47625</xdr:rowOff>
    </xdr:from>
    <xdr:ext cx="6040628" cy="623248"/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5E0D0A07-6933-49CF-A4F7-2802A4427AA6}"/>
            </a:ext>
          </a:extLst>
        </xdr:cNvPr>
        <xdr:cNvSpPr/>
      </xdr:nvSpPr>
      <xdr:spPr>
        <a:xfrm rot="20698106">
          <a:off x="2857499" y="13664565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1238250</xdr:colOff>
      <xdr:row>894</xdr:row>
      <xdr:rowOff>57151</xdr:rowOff>
    </xdr:from>
    <xdr:ext cx="6040628" cy="623248"/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9EF9C950-C49B-46F0-BD28-8E0AE9E87065}"/>
            </a:ext>
          </a:extLst>
        </xdr:cNvPr>
        <xdr:cNvSpPr/>
      </xdr:nvSpPr>
      <xdr:spPr>
        <a:xfrm rot="20698106">
          <a:off x="2886075" y="145561051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1238250</xdr:colOff>
      <xdr:row>945</xdr:row>
      <xdr:rowOff>57151</xdr:rowOff>
    </xdr:from>
    <xdr:ext cx="6040628" cy="623248"/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77504283-712C-4E1D-8E86-05F3048ABA98}"/>
            </a:ext>
          </a:extLst>
        </xdr:cNvPr>
        <xdr:cNvSpPr/>
      </xdr:nvSpPr>
      <xdr:spPr>
        <a:xfrm rot="20698106">
          <a:off x="2886075" y="153819226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1209675</xdr:colOff>
      <xdr:row>995</xdr:row>
      <xdr:rowOff>38101</xdr:rowOff>
    </xdr:from>
    <xdr:ext cx="6040628" cy="623248"/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3A942446-DE20-4249-9756-DAFCB3C4EC3E}"/>
            </a:ext>
          </a:extLst>
        </xdr:cNvPr>
        <xdr:cNvSpPr/>
      </xdr:nvSpPr>
      <xdr:spPr>
        <a:xfrm rot="20698106">
          <a:off x="2857500" y="161896426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1238250</xdr:colOff>
      <xdr:row>1050</xdr:row>
      <xdr:rowOff>47624</xdr:rowOff>
    </xdr:from>
    <xdr:ext cx="6040628" cy="623248"/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F3CA2423-5098-45C7-AF3F-4998AD998B01}"/>
            </a:ext>
          </a:extLst>
        </xdr:cNvPr>
        <xdr:cNvSpPr/>
      </xdr:nvSpPr>
      <xdr:spPr>
        <a:xfrm rot="20698106">
          <a:off x="2886075" y="170811824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1219201</xdr:colOff>
      <xdr:row>1104</xdr:row>
      <xdr:rowOff>133350</xdr:rowOff>
    </xdr:from>
    <xdr:ext cx="6040628" cy="623248"/>
    <xdr:sp macro="" textlink="">
      <xdr:nvSpPr>
        <xdr:cNvPr id="26" name="Rechteck 25">
          <a:extLst>
            <a:ext uri="{FF2B5EF4-FFF2-40B4-BE49-F238E27FC236}">
              <a16:creationId xmlns:a16="http://schemas.microsoft.com/office/drawing/2014/main" id="{B81B6175-88B5-42D6-9610-4674F89972CD}"/>
            </a:ext>
          </a:extLst>
        </xdr:cNvPr>
        <xdr:cNvSpPr/>
      </xdr:nvSpPr>
      <xdr:spPr>
        <a:xfrm rot="20698106">
          <a:off x="2867026" y="179641500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  <xdr:oneCellAnchor>
    <xdr:from>
      <xdr:col>1</xdr:col>
      <xdr:colOff>1200149</xdr:colOff>
      <xdr:row>1157</xdr:row>
      <xdr:rowOff>0</xdr:rowOff>
    </xdr:from>
    <xdr:ext cx="6040628" cy="623248"/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7DC26DCF-FADB-4B03-ABAF-E0105A90AA53}"/>
            </a:ext>
          </a:extLst>
        </xdr:cNvPr>
        <xdr:cNvSpPr/>
      </xdr:nvSpPr>
      <xdr:spPr>
        <a:xfrm rot="20698106">
          <a:off x="2847974" y="188090175"/>
          <a:ext cx="6040628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600" b="1" cap="none" spc="50">
              <a:ln w="0"/>
              <a:solidFill>
                <a:srgbClr val="FF0000">
                  <a:alpha val="5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" panose="020B0604020202020204" pitchFamily="34" charset="0"/>
              <a:cs typeface="Arial" panose="020B0604020202020204" pitchFamily="34" charset="0"/>
            </a:rPr>
            <a:t>Buchung erst ab 25.09.24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304800</xdr:rowOff>
    </xdr:from>
    <xdr:to>
      <xdr:col>0</xdr:col>
      <xdr:colOff>1628775</xdr:colOff>
      <xdr:row>4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2965242-A732-4744-B265-F177845A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04800"/>
          <a:ext cx="1571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1</xdr:row>
      <xdr:rowOff>104775</xdr:rowOff>
    </xdr:from>
    <xdr:to>
      <xdr:col>7</xdr:col>
      <xdr:colOff>552450</xdr:colOff>
      <xdr:row>4</xdr:row>
      <xdr:rowOff>28575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7F1FCD6-40DB-43E3-BE01-A0B885979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523875"/>
          <a:ext cx="2085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H_Uebersicht_JP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Seminarübersicht"/>
      <sheetName val="Datenbrücke"/>
      <sheetName val="Vorlage Textdaten"/>
      <sheetName val="Vorlage PLZ"/>
    </sheetNames>
    <sheetDataSet>
      <sheetData sheetId="0" refreshError="1">
        <row r="1">
          <cell r="A1" t="str">
            <v>LFD_NR</v>
          </cell>
          <cell r="B1" t="str">
            <v xml:space="preserve"> DS</v>
          </cell>
          <cell r="C1" t="str">
            <v xml:space="preserve"> KS</v>
          </cell>
          <cell r="D1" t="str">
            <v xml:space="preserve"> VSTGART_NAME</v>
          </cell>
          <cell r="E1" t="str">
            <v xml:space="preserve"> VSTG_KURZ</v>
          </cell>
          <cell r="F1" t="str">
            <v xml:space="preserve"> VSTG_NAME</v>
          </cell>
          <cell r="G1" t="str">
            <v xml:space="preserve"> VSTG_MEMO</v>
          </cell>
          <cell r="H1" t="str">
            <v xml:space="preserve"> VSTG_BEM</v>
          </cell>
          <cell r="I1" t="str">
            <v xml:space="preserve"> VSTG_DATUM_VON</v>
          </cell>
          <cell r="J1" t="str">
            <v xml:space="preserve"> VSTG_DATUM_BIS</v>
          </cell>
          <cell r="K1" t="str">
            <v xml:space="preserve"> VSTG_TAG_VON</v>
          </cell>
          <cell r="L1" t="str">
            <v xml:space="preserve"> VSTG_TAG_BIS</v>
          </cell>
          <cell r="M1" t="str">
            <v xml:space="preserve"> VSTG_UHRZ_VON</v>
          </cell>
          <cell r="N1" t="str">
            <v xml:space="preserve"> VSTG_UHRZ_BIS</v>
          </cell>
          <cell r="O1" t="str">
            <v xml:space="preserve"> VSTG_TLN_MIN</v>
          </cell>
          <cell r="P1" t="str">
            <v xml:space="preserve"> VSTG_TLN_MAX</v>
          </cell>
          <cell r="Q1" t="str">
            <v xml:space="preserve"> VSTG_TLN_OPT</v>
          </cell>
          <cell r="R1" t="str">
            <v xml:space="preserve"> VSTG_TLNSEKU_MAX</v>
          </cell>
          <cell r="S1" t="str">
            <v xml:space="preserve"> VSTG_STISTIK</v>
          </cell>
          <cell r="T1" t="str">
            <v xml:space="preserve"> VSTG_MANUELL</v>
          </cell>
          <cell r="U1" t="str">
            <v xml:space="preserve"> VSTG_LK</v>
          </cell>
          <cell r="V1" t="str">
            <v xml:space="preserve"> VSTG_STATUS</v>
          </cell>
          <cell r="W1" t="str">
            <v xml:space="preserve"> VSTG_ART</v>
          </cell>
          <cell r="X1" t="str">
            <v xml:space="preserve"> VSTG_TYP</v>
          </cell>
          <cell r="Y1" t="str">
            <v xml:space="preserve"> VSTG_STUFE</v>
          </cell>
          <cell r="Z1" t="str">
            <v xml:space="preserve"> VERANSTALTUNG_IDNR</v>
          </cell>
          <cell r="AA1" t="str">
            <v xml:space="preserve"> VSTG_INHALTE</v>
          </cell>
          <cell r="AB1" t="str">
            <v xml:space="preserve"> VSTG_INHALTELANG</v>
          </cell>
          <cell r="AC1" t="str">
            <v xml:space="preserve"> VSTG_VORTITEL</v>
          </cell>
          <cell r="AD1" t="str">
            <v xml:space="preserve"> VSTG_TITEL</v>
          </cell>
          <cell r="AE1" t="str">
            <v xml:space="preserve"> VSTG_ZIEL</v>
          </cell>
          <cell r="AF1" t="str">
            <v xml:space="preserve"> VSTG_VORAUSSETZUNG</v>
          </cell>
          <cell r="AG1" t="str">
            <v xml:space="preserve"> VSTG_ZIELGRUPPE</v>
          </cell>
          <cell r="AH1" t="str">
            <v xml:space="preserve"> VSTG_PROGRAMM</v>
          </cell>
          <cell r="AI1" t="str">
            <v xml:space="preserve"> VSTG_COPYRIGHT</v>
          </cell>
          <cell r="AJ1" t="str">
            <v xml:space="preserve"> VSTG_TERMIN</v>
          </cell>
          <cell r="AK1" t="str">
            <v xml:space="preserve"> VSTG_DAUER</v>
          </cell>
          <cell r="AL1" t="str">
            <v xml:space="preserve"> VSTG_ORT</v>
          </cell>
          <cell r="AM1" t="str">
            <v xml:space="preserve"> VSTG_UNTERKUNFT</v>
          </cell>
          <cell r="AN1" t="str">
            <v xml:space="preserve"> VSTG_GEBUEHR</v>
          </cell>
          <cell r="AO1" t="str">
            <v xml:space="preserve"> VSTG_ANMELDEENDE</v>
          </cell>
          <cell r="AP1" t="str">
            <v xml:space="preserve"> VSTG_HINWEIS</v>
          </cell>
          <cell r="AQ1" t="str">
            <v xml:space="preserve"> VSTG_WAEHRUNG</v>
          </cell>
          <cell r="AR1" t="str">
            <v xml:space="preserve"> SORTNUMMER</v>
          </cell>
          <cell r="AS1" t="str">
            <v xml:space="preserve"> KALENDERWOCHE</v>
          </cell>
          <cell r="AT1" t="str">
            <v xml:space="preserve"> DAT_VON_NUM</v>
          </cell>
          <cell r="AU1" t="str">
            <v xml:space="preserve"> DAT_BIS_NUM</v>
          </cell>
          <cell r="AV1" t="str">
            <v xml:space="preserve"> VSTG_UEINHEITEN</v>
          </cell>
          <cell r="AW1" t="str">
            <v xml:space="preserve"> VSTG_BEGINN</v>
          </cell>
          <cell r="AX1" t="str">
            <v xml:space="preserve"> VSTG_ENDE</v>
          </cell>
          <cell r="AY1" t="str">
            <v xml:space="preserve"> VSTG_ZUORDNUNG</v>
          </cell>
          <cell r="AZ1" t="str">
            <v xml:space="preserve"> VSTG_RANG</v>
          </cell>
          <cell r="BA1" t="str">
            <v xml:space="preserve"> VSTG_THEMA_ID</v>
          </cell>
          <cell r="BB1" t="str">
            <v xml:space="preserve"> VSTG_THEMA</v>
          </cell>
          <cell r="BC1" t="str">
            <v xml:space="preserve"> VSTG_STATUS_K</v>
          </cell>
          <cell r="BD1" t="str">
            <v xml:space="preserve"> VSTG_PROFIL</v>
          </cell>
          <cell r="BE1" t="str">
            <v xml:space="preserve"> VSTG_WEB</v>
          </cell>
          <cell r="BF1" t="str">
            <v xml:space="preserve"> VSTG_VON_TAG</v>
          </cell>
          <cell r="BG1" t="str">
            <v xml:space="preserve"> VSTG_VON_MONAT</v>
          </cell>
          <cell r="BH1" t="str">
            <v xml:space="preserve"> VSTG_VON_JAHR</v>
          </cell>
          <cell r="BI1" t="str">
            <v xml:space="preserve"> VSTG_VON_KW</v>
          </cell>
          <cell r="BJ1" t="str">
            <v xml:space="preserve"> VSTG_BIS_TAG</v>
          </cell>
          <cell r="BK1" t="str">
            <v xml:space="preserve"> VSTG_BIS_MONAT</v>
          </cell>
          <cell r="BL1" t="str">
            <v xml:space="preserve"> VSTG_BIS_JAHR</v>
          </cell>
          <cell r="BM1" t="str">
            <v xml:space="preserve"> VSTG_BIS_KW</v>
          </cell>
          <cell r="BN1" t="str">
            <v xml:space="preserve"> VSTG_ANZAHL_WOCHEN</v>
          </cell>
          <cell r="BO1" t="str">
            <v xml:space="preserve"> VSTG_OHNESTEUER</v>
          </cell>
          <cell r="BP1" t="str">
            <v xml:space="preserve"> VSTG_KEINESAMRECH</v>
          </cell>
          <cell r="BQ1" t="str">
            <v xml:space="preserve"> VSTG_EXPFRONTSTAT</v>
          </cell>
          <cell r="BR1" t="str">
            <v xml:space="preserve"> VSTG_ERF_DATUM</v>
          </cell>
          <cell r="BS1" t="str">
            <v xml:space="preserve"> VSTG_AEND_DATUM</v>
          </cell>
          <cell r="BT1" t="str">
            <v xml:space="preserve"> VSTG_RAUMVORSCH</v>
          </cell>
          <cell r="BU1" t="str">
            <v xml:space="preserve"> VSTG_ABRSTATUS</v>
          </cell>
          <cell r="BV1" t="str">
            <v xml:space="preserve"> VHPTART_NAME</v>
          </cell>
          <cell r="BW1" t="str">
            <v xml:space="preserve"> VHPT_KURZ</v>
          </cell>
          <cell r="BX1" t="str">
            <v xml:space="preserve"> VHPT_NAME</v>
          </cell>
          <cell r="BY1" t="str">
            <v xml:space="preserve"> VHPT_MEMO</v>
          </cell>
          <cell r="BZ1" t="str">
            <v xml:space="preserve"> VHPT_BEM</v>
          </cell>
          <cell r="CA1" t="str">
            <v xml:space="preserve"> VHPT_DATUM_VON</v>
          </cell>
          <cell r="CB1" t="str">
            <v xml:space="preserve"> VHPT_DATUM_BIS</v>
          </cell>
          <cell r="CC1" t="str">
            <v xml:space="preserve"> VHPT_TAG_VON</v>
          </cell>
          <cell r="CD1" t="str">
            <v xml:space="preserve"> VHPT_TAG_BIS</v>
          </cell>
          <cell r="CE1" t="str">
            <v xml:space="preserve"> VHPT_UHRZ_VON</v>
          </cell>
          <cell r="CF1" t="str">
            <v xml:space="preserve"> VHPT_UHRZ_BIS</v>
          </cell>
          <cell r="CG1" t="str">
            <v xml:space="preserve"> VHPT_TLN_MIN</v>
          </cell>
          <cell r="CH1" t="str">
            <v xml:space="preserve"> VHPT_TLN_MAX</v>
          </cell>
          <cell r="CI1" t="str">
            <v xml:space="preserve"> VHPT_TLN_OPT</v>
          </cell>
          <cell r="CJ1" t="str">
            <v xml:space="preserve"> VHPT_TLNSEKU_MAX</v>
          </cell>
          <cell r="CK1" t="str">
            <v xml:space="preserve"> VHPT_STISTIK</v>
          </cell>
          <cell r="CL1" t="str">
            <v xml:space="preserve"> VHPT_MANUELL</v>
          </cell>
          <cell r="CM1" t="str">
            <v xml:space="preserve"> VHPT_LK</v>
          </cell>
          <cell r="CN1" t="str">
            <v xml:space="preserve"> VHPT_STATUS</v>
          </cell>
          <cell r="CO1" t="str">
            <v xml:space="preserve"> VHPT_ART</v>
          </cell>
          <cell r="CP1" t="str">
            <v xml:space="preserve"> VHPT_TYP</v>
          </cell>
          <cell r="CQ1" t="str">
            <v xml:space="preserve"> VHPT_STUFE</v>
          </cell>
          <cell r="CR1" t="str">
            <v xml:space="preserve"> VHPT_VSTG_IDNR</v>
          </cell>
          <cell r="CS1" t="str">
            <v xml:space="preserve"> VHPT_INHALTE</v>
          </cell>
          <cell r="CT1" t="str">
            <v xml:space="preserve"> VHPT_INHALTELANG</v>
          </cell>
          <cell r="CU1" t="str">
            <v xml:space="preserve"> VHPT_VORTITEL</v>
          </cell>
          <cell r="CV1" t="str">
            <v xml:space="preserve"> VHPT_TITEL</v>
          </cell>
          <cell r="CW1" t="str">
            <v xml:space="preserve"> VHPT_ZIEL</v>
          </cell>
          <cell r="CX1" t="str">
            <v xml:space="preserve"> VHPT_VORAUSSETZUNG</v>
          </cell>
          <cell r="CY1" t="str">
            <v xml:space="preserve"> VHPT_ZIELGRUPPE</v>
          </cell>
          <cell r="CZ1" t="str">
            <v xml:space="preserve"> VHPT_PROGRAMM</v>
          </cell>
          <cell r="DA1" t="str">
            <v xml:space="preserve"> VHPT_COPYRIGHT</v>
          </cell>
          <cell r="DB1" t="str">
            <v xml:space="preserve"> VHPT_TERMIN</v>
          </cell>
          <cell r="DC1" t="str">
            <v xml:space="preserve"> VHPT_DAUER</v>
          </cell>
          <cell r="DD1" t="str">
            <v xml:space="preserve"> VHPT_ORT</v>
          </cell>
          <cell r="DE1" t="str">
            <v xml:space="preserve"> VHPT_UNTERKUNFT</v>
          </cell>
          <cell r="DF1" t="str">
            <v xml:space="preserve"> VHPT_GEBUEHR</v>
          </cell>
          <cell r="DG1" t="str">
            <v xml:space="preserve"> VHPT_ANMELDEENDE</v>
          </cell>
          <cell r="DH1" t="str">
            <v xml:space="preserve"> VHPT_HINWEIS</v>
          </cell>
          <cell r="DI1" t="str">
            <v xml:space="preserve"> VHPT_WAEHRUNG</v>
          </cell>
          <cell r="DJ1" t="str">
            <v xml:space="preserve"> VHPT_SORTNUMMER</v>
          </cell>
          <cell r="DK1" t="str">
            <v xml:space="preserve"> VHPT_KALENDERWOCHE</v>
          </cell>
          <cell r="DL1" t="str">
            <v xml:space="preserve"> VHPT_DAT_VON_NUM</v>
          </cell>
          <cell r="DM1" t="str">
            <v xml:space="preserve"> VHPT_DAT_BIS_NUM</v>
          </cell>
          <cell r="DN1" t="str">
            <v xml:space="preserve"> VHPT_UEINHEITEN</v>
          </cell>
          <cell r="DO1" t="str">
            <v xml:space="preserve"> VHPT_BEGINN</v>
          </cell>
          <cell r="DP1" t="str">
            <v xml:space="preserve"> VHPT_ENDE</v>
          </cell>
          <cell r="DQ1" t="str">
            <v xml:space="preserve"> VHPT_ZUORDNUNG</v>
          </cell>
          <cell r="DR1" t="str">
            <v xml:space="preserve"> VHPT_RANG</v>
          </cell>
          <cell r="DS1" t="str">
            <v xml:space="preserve"> VHPT_THEMA_ID</v>
          </cell>
          <cell r="DT1" t="str">
            <v xml:space="preserve"> VHPT_THEMA</v>
          </cell>
          <cell r="DU1" t="str">
            <v xml:space="preserve"> VHPT_STATUS_K</v>
          </cell>
          <cell r="DV1" t="str">
            <v xml:space="preserve"> VHPT_PROFIL</v>
          </cell>
          <cell r="DW1" t="str">
            <v xml:space="preserve"> VHPT_WEB</v>
          </cell>
          <cell r="DX1" t="str">
            <v xml:space="preserve"> VHPT_VON_TAG</v>
          </cell>
          <cell r="DY1" t="str">
            <v xml:space="preserve"> VHPT_VON_MONAT</v>
          </cell>
          <cell r="DZ1" t="str">
            <v xml:space="preserve"> VHPT_VON_JAHR</v>
          </cell>
          <cell r="EA1" t="str">
            <v xml:space="preserve"> VHPT_VON_KW</v>
          </cell>
          <cell r="EB1" t="str">
            <v xml:space="preserve"> VHPT_BIS_TAG</v>
          </cell>
          <cell r="EC1" t="str">
            <v xml:space="preserve"> VHPT_BIS_MONAT</v>
          </cell>
          <cell r="ED1" t="str">
            <v xml:space="preserve"> VHPT_BIS_JAHR</v>
          </cell>
          <cell r="EE1" t="str">
            <v xml:space="preserve"> VHPT_BIS_KW</v>
          </cell>
          <cell r="EF1" t="str">
            <v xml:space="preserve"> VHPT_ANZAHL_WOCHEN</v>
          </cell>
          <cell r="EG1" t="str">
            <v xml:space="preserve"> VHPT_OHNESTEUER</v>
          </cell>
          <cell r="EH1" t="str">
            <v xml:space="preserve"> VHPT_KEINESAMRECH</v>
          </cell>
          <cell r="EI1" t="str">
            <v xml:space="preserve"> VHPT_EXPFRONTSTAT</v>
          </cell>
          <cell r="EJ1" t="str">
            <v xml:space="preserve"> VHPT_ERF_DATUM</v>
          </cell>
          <cell r="EK1" t="str">
            <v xml:space="preserve"> VHPT_AEND_DATUM</v>
          </cell>
          <cell r="EL1" t="str">
            <v xml:space="preserve"> VHPT_RAUMVORSCH</v>
          </cell>
          <cell r="EM1" t="str">
            <v xml:space="preserve"> VHPT_ABRSTATUS</v>
          </cell>
          <cell r="EN1" t="str">
            <v xml:space="preserve"> VTH1_THEMA</v>
          </cell>
          <cell r="EO1" t="str">
            <v xml:space="preserve"> VTH1_AUSPRAEGUNG</v>
          </cell>
          <cell r="EP1" t="str">
            <v xml:space="preserve"> DOZ1_ANRKOMPLETT</v>
          </cell>
          <cell r="EQ1" t="str">
            <v xml:space="preserve"> DOZ1_FUNKTIONRANG</v>
          </cell>
          <cell r="ER1" t="str">
            <v xml:space="preserve"> DOZ1_FUNKTION</v>
          </cell>
          <cell r="ES1" t="str">
            <v xml:space="preserve"> DOZ1_TELEFON</v>
          </cell>
          <cell r="ET1" t="str">
            <v xml:space="preserve"> DOZ1_EMAIL</v>
          </cell>
          <cell r="EU1" t="str">
            <v xml:space="preserve"> DOZ1__NACHNAME</v>
          </cell>
          <cell r="EV1" t="str">
            <v xml:space="preserve"> DOZ1__VORNAME</v>
          </cell>
          <cell r="EW1" t="str">
            <v xml:space="preserve"> DOZ1__AKD_TITEL</v>
          </cell>
          <cell r="EX1" t="str">
            <v xml:space="preserve"> DOZ1__ANREDE</v>
          </cell>
          <cell r="EY1" t="str">
            <v xml:space="preserve"> DOZ1__FIRMA</v>
          </cell>
          <cell r="EZ1" t="str">
            <v xml:space="preserve"> DOZ1__VITA</v>
          </cell>
          <cell r="FA1" t="str">
            <v xml:space="preserve"> DOZ1__VITA_KURZ</v>
          </cell>
          <cell r="FB1" t="str">
            <v xml:space="preserve"> DOZ2_ANRKOMPLETT</v>
          </cell>
          <cell r="FC1" t="str">
            <v xml:space="preserve"> DOZ2_FUNKTIONRANG</v>
          </cell>
          <cell r="FD1" t="str">
            <v xml:space="preserve"> DOZ2_FUNKTION</v>
          </cell>
          <cell r="FE1" t="str">
            <v xml:space="preserve"> DOZ2_TELEFON</v>
          </cell>
          <cell r="FF1" t="str">
            <v xml:space="preserve"> DOZ2_EMAIL</v>
          </cell>
          <cell r="FG1" t="str">
            <v xml:space="preserve"> DOZ2__NACHNAME</v>
          </cell>
          <cell r="FH1" t="str">
            <v xml:space="preserve"> DOZ2__VORNAME</v>
          </cell>
          <cell r="FI1" t="str">
            <v xml:space="preserve"> DOZ2__AKD_TITEL</v>
          </cell>
          <cell r="FJ1" t="str">
            <v xml:space="preserve"> DOZ2__ANREDE</v>
          </cell>
          <cell r="FK1" t="str">
            <v xml:space="preserve"> DOZ2__FIRMA</v>
          </cell>
          <cell r="FL1" t="str">
            <v xml:space="preserve"> DOZ2__VITA</v>
          </cell>
          <cell r="FM1" t="str">
            <v xml:space="preserve"> DOZ2__VITA_KURZ</v>
          </cell>
          <cell r="FN1" t="str">
            <v xml:space="preserve"> DOZ3_ANRKOMPLETT</v>
          </cell>
          <cell r="FO1" t="str">
            <v xml:space="preserve"> DOZ3_FUNKTIONRANG</v>
          </cell>
          <cell r="FP1" t="str">
            <v xml:space="preserve"> DOZ3_FUNKTION</v>
          </cell>
          <cell r="FQ1" t="str">
            <v xml:space="preserve"> DOZ3_TELEFON</v>
          </cell>
          <cell r="FR1" t="str">
            <v xml:space="preserve"> DOZ3_EMAIL</v>
          </cell>
          <cell r="FS1" t="str">
            <v xml:space="preserve"> DOZ3__NACHNAME</v>
          </cell>
          <cell r="FT1" t="str">
            <v xml:space="preserve"> DOZ3__VORNAME</v>
          </cell>
          <cell r="FU1" t="str">
            <v xml:space="preserve"> DOZ3__AKD_TITEL</v>
          </cell>
          <cell r="FV1" t="str">
            <v xml:space="preserve"> DOZ3__ANREDE</v>
          </cell>
          <cell r="FW1" t="str">
            <v xml:space="preserve"> DOZ3__FIRMA</v>
          </cell>
          <cell r="FX1" t="str">
            <v xml:space="preserve"> DOZ3__VITA</v>
          </cell>
          <cell r="FY1" t="str">
            <v xml:space="preserve"> DOZ3__VITA_KURZ</v>
          </cell>
          <cell r="FZ1" t="str">
            <v xml:space="preserve"> DOZ4_ANRKOMPLETT</v>
          </cell>
          <cell r="GA1" t="str">
            <v xml:space="preserve"> DOZ4_FUNKTIONRANG</v>
          </cell>
          <cell r="GB1" t="str">
            <v xml:space="preserve"> DOZ4_FUNKTION</v>
          </cell>
          <cell r="GC1" t="str">
            <v xml:space="preserve"> DOZ4_TELEFON</v>
          </cell>
          <cell r="GD1" t="str">
            <v xml:space="preserve"> DOZ4_EMAIL</v>
          </cell>
          <cell r="GE1" t="str">
            <v xml:space="preserve"> DOZ4__NACHNAME</v>
          </cell>
          <cell r="GF1" t="str">
            <v xml:space="preserve"> DOZ4__VORNAME</v>
          </cell>
          <cell r="GG1" t="str">
            <v xml:space="preserve"> DOZ4__AKD_TITEL</v>
          </cell>
          <cell r="GH1" t="str">
            <v xml:space="preserve"> DOZ4__ANREDE</v>
          </cell>
          <cell r="GI1" t="str">
            <v xml:space="preserve"> DOZ4__FIRMA</v>
          </cell>
          <cell r="GJ1" t="str">
            <v xml:space="preserve"> DOZ4__VITA</v>
          </cell>
          <cell r="GK1" t="str">
            <v xml:space="preserve"> DOZ4__VITA_KURZ</v>
          </cell>
          <cell r="GL1" t="str">
            <v xml:space="preserve"> DOZ5_ANRKOMPLETT</v>
          </cell>
          <cell r="GM1" t="str">
            <v xml:space="preserve"> DOZ5_FUNKTIONRANG</v>
          </cell>
          <cell r="GN1" t="str">
            <v xml:space="preserve"> DOZ5_FUNKTION</v>
          </cell>
          <cell r="GO1" t="str">
            <v xml:space="preserve"> DOZ5_TELEFON</v>
          </cell>
          <cell r="GP1" t="str">
            <v xml:space="preserve"> DOZ5_EMAIL</v>
          </cell>
          <cell r="GQ1" t="str">
            <v xml:space="preserve"> DOZ5__NACHNAME</v>
          </cell>
          <cell r="GR1" t="str">
            <v xml:space="preserve"> DOZ5__VORNAME</v>
          </cell>
          <cell r="GS1" t="str">
            <v xml:space="preserve"> DOZ5__AKD_TITEL</v>
          </cell>
          <cell r="GT1" t="str">
            <v xml:space="preserve"> DOZ5__ANREDE</v>
          </cell>
          <cell r="GU1" t="str">
            <v xml:space="preserve"> DOZ5__FIRMA</v>
          </cell>
          <cell r="GV1" t="str">
            <v xml:space="preserve"> DOZ5__VITA</v>
          </cell>
          <cell r="GW1" t="str">
            <v xml:space="preserve"> DOZ5__VITA_KURZ</v>
          </cell>
          <cell r="GX1" t="str">
            <v xml:space="preserve"> VD1_ITRAUM</v>
          </cell>
          <cell r="GY1" t="str">
            <v xml:space="preserve"> REPORT_AUSWAHL</v>
          </cell>
          <cell r="GZ1" t="str">
            <v xml:space="preserve"> BEG_DATUM_VON</v>
          </cell>
          <cell r="HA1" t="str">
            <v xml:space="preserve"> BEG_DATUM_BIS</v>
          </cell>
          <cell r="HB1" t="str">
            <v xml:space="preserve"> BEG_KW_VON</v>
          </cell>
          <cell r="HC1" t="str">
            <v xml:space="preserve"> BEG_KW_BIS</v>
          </cell>
          <cell r="HD1" t="str">
            <v xml:space="preserve"> KUNDEN_KUERZEL</v>
          </cell>
          <cell r="HE1" t="str">
            <v xml:space="preserve"> REP_IDNR</v>
          </cell>
          <cell r="HF1" t="str">
            <v xml:space="preserve"> REP_PARENT_IDNR</v>
          </cell>
          <cell r="HG1" t="str">
            <v xml:space="preserve"> REP_BEZ</v>
          </cell>
          <cell r="HH1" t="str">
            <v xml:space="preserve"> BENUTZER</v>
          </cell>
          <cell r="HI1" t="str">
            <v xml:space="preserve"> DRUCK</v>
          </cell>
        </row>
        <row r="2">
          <cell r="A2">
            <v>1</v>
          </cell>
          <cell r="B2">
            <v>1</v>
          </cell>
          <cell r="C2">
            <v>1</v>
          </cell>
          <cell r="D2" t="str">
            <v>Seminarprogramm</v>
          </cell>
          <cell r="E2" t="str">
            <v>02.410/001/2012</v>
          </cell>
          <cell r="F2" t="str">
            <v>Führen im Veränderungsprozess 
- Neue Anforderungen gemeinsam erfolgreich bewältigen</v>
          </cell>
          <cell r="I2">
            <v>40987</v>
          </cell>
          <cell r="J2">
            <v>40989</v>
          </cell>
          <cell r="K2" t="str">
            <v>Mo.</v>
          </cell>
          <cell r="L2" t="str">
            <v>Mi.</v>
          </cell>
          <cell r="M2">
            <v>0.41666666666666669</v>
          </cell>
          <cell r="N2">
            <v>0.72916666666666663</v>
          </cell>
          <cell r="O2">
            <v>8</v>
          </cell>
          <cell r="P2">
            <v>14</v>
          </cell>
          <cell r="Q2">
            <v>12</v>
          </cell>
          <cell r="S2">
            <v>1</v>
          </cell>
          <cell r="T2">
            <v>0</v>
          </cell>
          <cell r="V2" t="str">
            <v>abgeschlossen/abgerechnet</v>
          </cell>
          <cell r="W2" t="str">
            <v>Seminarprogramm</v>
          </cell>
          <cell r="X2" t="str">
            <v>Seminar komplett</v>
          </cell>
          <cell r="Y2">
            <v>4</v>
          </cell>
          <cell r="Z2">
            <v>38391</v>
          </cell>
          <cell r="AA2" t="str">
            <v>- Was ist Change Management? _x000D_
- Phasen von Veränderungsprozessen _x000D_
- Vorgehensweisen, Methoden und Werkzeuge zur Gestaltung von Veränderungsprozessen  _x000D_
- Anforderungen, Aufgaben und Rollen der Führungskräfte in bevorstehenden und laufenden Veränderungsp</v>
          </cell>
          <cell r="AB2" t="str">
            <v>- Was ist Change Management? _x000D_
- Phasen von Veränderungsprozessen _x000D_
- Vorgehensweisen, Methoden und Werkzeuge zur Gestaltung von Veränderungsprozessen _x000D_
- Anforderungen, Aufgaben und Rollen der Führungskräfte in Veränderungsprozessen _x000D_
- Die Bedeutung der</v>
          </cell>
          <cell r="AE2" t="str">
            <v>In Zeiten des Wandels müssen Führungskräfte Veränderungen gemeinsam mit ihrem Arbeitsteam bewältigen. Die Aufgabe von Führungskräften in Veränderungsprozessen ist es dabei, unter erhöhtem Zeit- und Arbeitsdruck die Mitarbeiterinnen und Mitarbeiter auf dem</v>
          </cell>
          <cell r="AF2" t="str">
            <v>Annegret Hofmann; Ute Schumacher</v>
          </cell>
          <cell r="AG2" t="str">
            <v>Alle Führungskräfte</v>
          </cell>
          <cell r="AK2" t="str">
            <v>3 Tage</v>
          </cell>
          <cell r="AN2">
            <v>300</v>
          </cell>
          <cell r="AQ2" t="str">
            <v>EURO</v>
          </cell>
          <cell r="AR2">
            <v>38391</v>
          </cell>
          <cell r="AS2">
            <v>12</v>
          </cell>
          <cell r="AT2">
            <v>20120319</v>
          </cell>
          <cell r="AU2">
            <v>20120321</v>
          </cell>
          <cell r="AW2">
            <v>40987</v>
          </cell>
          <cell r="AX2">
            <v>40989</v>
          </cell>
          <cell r="AY2">
            <v>1</v>
          </cell>
          <cell r="BA2">
            <v>3233</v>
          </cell>
          <cell r="BB2" t="str">
            <v>VeräProz</v>
          </cell>
          <cell r="BC2">
            <v>5</v>
          </cell>
          <cell r="BD2">
            <v>0</v>
          </cell>
          <cell r="BE2">
            <v>1</v>
          </cell>
          <cell r="BF2">
            <v>19</v>
          </cell>
          <cell r="BG2">
            <v>3</v>
          </cell>
          <cell r="BH2">
            <v>2012</v>
          </cell>
          <cell r="BI2">
            <v>12</v>
          </cell>
          <cell r="BJ2">
            <v>21</v>
          </cell>
          <cell r="BK2">
            <v>3</v>
          </cell>
          <cell r="BL2">
            <v>2012</v>
          </cell>
          <cell r="BM2">
            <v>12</v>
          </cell>
          <cell r="BN2">
            <v>0.4</v>
          </cell>
          <cell r="BO2">
            <v>0</v>
          </cell>
          <cell r="BP2">
            <v>0</v>
          </cell>
          <cell r="BQ2" t="str">
            <v>übertragen</v>
          </cell>
          <cell r="BR2">
            <v>40787</v>
          </cell>
          <cell r="BS2">
            <v>41010</v>
          </cell>
          <cell r="BU2" t="str">
            <v>Bereits abgerechnet</v>
          </cell>
          <cell r="BV2" t="str">
            <v>Seminarprogramm</v>
          </cell>
          <cell r="BW2" t="str">
            <v>02.410/001/2012</v>
          </cell>
          <cell r="BX2" t="str">
            <v>Führen im Veränderungsprozess 
- Neue Anforderungen gemeinsam erfolgreich bewältigen</v>
          </cell>
          <cell r="CA2">
            <v>40987</v>
          </cell>
          <cell r="CB2">
            <v>40989</v>
          </cell>
          <cell r="CC2" t="str">
            <v>Mo.</v>
          </cell>
          <cell r="CD2" t="str">
            <v>Mi.</v>
          </cell>
          <cell r="CE2">
            <v>0.41666666666666669</v>
          </cell>
          <cell r="CF2">
            <v>0.72916666666666663</v>
          </cell>
          <cell r="CG2">
            <v>8</v>
          </cell>
          <cell r="CH2">
            <v>14</v>
          </cell>
          <cell r="CI2">
            <v>12</v>
          </cell>
          <cell r="CK2">
            <v>1</v>
          </cell>
          <cell r="CL2">
            <v>0</v>
          </cell>
          <cell r="CN2" t="str">
            <v>abgeschlossen/abgerechnet</v>
          </cell>
          <cell r="CO2" t="str">
            <v>Seminarprogramm</v>
          </cell>
          <cell r="CP2" t="str">
            <v>Seminar komplett</v>
          </cell>
          <cell r="CQ2">
            <v>4</v>
          </cell>
          <cell r="CR2">
            <v>38391</v>
          </cell>
          <cell r="CS2" t="str">
            <v>- Was ist Change Management? _x000D_
- Phasen von Veränderungsprozessen _x000D_
- Vorgehensweisen, Methoden und Werkzeuge zur Gestaltung von Veränderungsprozessen  _x000D_
- Anforderungen, Aufgaben und Rollen der Führungskräfte in bevorstehenden und laufenden Veränderungsp</v>
          </cell>
          <cell r="CT2" t="str">
            <v>- Was ist Change Management? _x000D_
- Phasen von Veränderungsprozessen _x000D_
- Vorgehensweisen, Methoden und Werkzeuge zur Gestaltung von Veränderungsprozessen _x000D_
- Anforderungen, Aufgaben und Rollen der Führungskräfte in Veränderungsprozessen _x000D_
- Die Bedeutung der</v>
          </cell>
          <cell r="CW2" t="str">
            <v>In Zeiten des Wandels müssen Führungskräfte Veränderungen gemeinsam mit ihrem Arbeitsteam bewältigen. Die Aufgabe von Führungskräften in Veränderungsprozessen ist es dabei, unter erhöhtem Zeit- und Arbeitsdruck die Mitarbeiterinnen und Mitarbeiter auf dem</v>
          </cell>
          <cell r="CX2" t="str">
            <v>Annegret Hofmann; Ute Schumacher</v>
          </cell>
          <cell r="CY2" t="str">
            <v>Alle Führungskräfte</v>
          </cell>
          <cell r="DC2" t="str">
            <v>3 Tage</v>
          </cell>
          <cell r="DF2">
            <v>300</v>
          </cell>
          <cell r="DI2" t="str">
            <v>EURO</v>
          </cell>
          <cell r="DJ2">
            <v>38391</v>
          </cell>
          <cell r="DK2">
            <v>12</v>
          </cell>
          <cell r="DL2">
            <v>20120319</v>
          </cell>
          <cell r="DM2">
            <v>20120321</v>
          </cell>
          <cell r="DO2">
            <v>40987</v>
          </cell>
          <cell r="DP2">
            <v>40989</v>
          </cell>
          <cell r="DQ2">
            <v>1</v>
          </cell>
          <cell r="DS2">
            <v>3233</v>
          </cell>
          <cell r="DT2" t="str">
            <v>VeräProz</v>
          </cell>
          <cell r="DU2">
            <v>5</v>
          </cell>
          <cell r="DV2">
            <v>0</v>
          </cell>
          <cell r="DW2">
            <v>1</v>
          </cell>
          <cell r="DX2">
            <v>19</v>
          </cell>
          <cell r="DY2">
            <v>3</v>
          </cell>
          <cell r="DZ2">
            <v>2012</v>
          </cell>
          <cell r="EA2">
            <v>12</v>
          </cell>
          <cell r="EB2">
            <v>21</v>
          </cell>
          <cell r="EC2">
            <v>3</v>
          </cell>
          <cell r="ED2">
            <v>2012</v>
          </cell>
          <cell r="EE2">
            <v>12</v>
          </cell>
          <cell r="EF2">
            <v>0.4</v>
          </cell>
          <cell r="EG2">
            <v>0</v>
          </cell>
          <cell r="EH2">
            <v>0</v>
          </cell>
          <cell r="EI2" t="str">
            <v>übertragen</v>
          </cell>
          <cell r="EJ2">
            <v>40787</v>
          </cell>
          <cell r="EK2">
            <v>41010</v>
          </cell>
          <cell r="EM2" t="str">
            <v>Bereits abgerechnet</v>
          </cell>
          <cell r="EP2" t="str">
            <v>Andrea Antrago 246425</v>
          </cell>
          <cell r="ES2" t="str">
            <v>039459 / 412</v>
          </cell>
          <cell r="ET2" t="str">
            <v>Andrea.Antrago@Antrago.de</v>
          </cell>
          <cell r="EU2" t="str">
            <v>Antrago 246425</v>
          </cell>
          <cell r="EV2" t="str">
            <v>Andrea</v>
          </cell>
          <cell r="EX2" t="str">
            <v>Frau</v>
          </cell>
          <cell r="EZ2" t="str">
            <v>Vita wurde wegen Anonymisierung entfernt</v>
          </cell>
          <cell r="GX2">
            <v>0</v>
          </cell>
          <cell r="GY2" t="str">
            <v>Beginn zwischen 01.01.2012 und 31.12.2012 und Veranstaltungsart ist 'Seminarprogramm'  und Abschnitte, die im Belegungsplan angezeigt werden</v>
          </cell>
          <cell r="GZ2">
            <v>40909</v>
          </cell>
          <cell r="HA2">
            <v>41274</v>
          </cell>
          <cell r="HB2">
            <v>52</v>
          </cell>
          <cell r="HC2">
            <v>1</v>
          </cell>
          <cell r="HD2" t="str">
            <v>FAH</v>
          </cell>
          <cell r="HI2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1202"/>
  <sheetViews>
    <sheetView tabSelected="1" workbookViewId="0">
      <selection activeCell="B10" sqref="B10"/>
    </sheetView>
  </sheetViews>
  <sheetFormatPr baseColWidth="10" defaultRowHeight="12.75" x14ac:dyDescent="0.2"/>
  <cols>
    <col min="1" max="1" width="24.7109375" style="1" customWidth="1"/>
    <col min="2" max="2" width="95.28515625" style="1" customWidth="1"/>
    <col min="3" max="5" width="11.42578125" style="1"/>
    <col min="6" max="6" width="11.42578125" style="11"/>
    <col min="7" max="7" width="26.140625" style="1" customWidth="1"/>
    <col min="8" max="8" width="13.7109375" style="1" customWidth="1"/>
    <col min="9" max="16384" width="11.42578125" style="1"/>
  </cols>
  <sheetData>
    <row r="1" spans="1:8" ht="38.25" customHeight="1" x14ac:dyDescent="0.2">
      <c r="A1" s="19"/>
      <c r="B1" s="20" t="s">
        <v>0</v>
      </c>
      <c r="C1" s="21"/>
      <c r="D1" s="21"/>
      <c r="E1" s="21"/>
      <c r="F1" s="22"/>
      <c r="G1" s="19"/>
      <c r="H1" s="19"/>
    </row>
    <row r="2" spans="1:8" ht="18.75" x14ac:dyDescent="0.25">
      <c r="A2" s="19"/>
      <c r="B2" s="23" t="s">
        <v>24</v>
      </c>
      <c r="C2" s="24"/>
      <c r="D2" s="24"/>
      <c r="E2" s="24"/>
      <c r="F2" s="25"/>
      <c r="G2" s="19"/>
      <c r="H2" s="19"/>
    </row>
    <row r="3" spans="1:8" x14ac:dyDescent="0.2">
      <c r="A3" s="19"/>
      <c r="B3" s="13"/>
      <c r="C3" s="14"/>
      <c r="D3" s="14"/>
      <c r="E3" s="14"/>
      <c r="F3" s="15"/>
      <c r="G3" s="19"/>
      <c r="H3" s="19"/>
    </row>
    <row r="4" spans="1:8" x14ac:dyDescent="0.2">
      <c r="A4" s="19"/>
      <c r="B4" s="26" t="s">
        <v>26</v>
      </c>
      <c r="C4" s="27"/>
      <c r="D4" s="27"/>
      <c r="E4" s="27"/>
      <c r="F4" s="28"/>
      <c r="G4" s="19"/>
      <c r="H4" s="19"/>
    </row>
    <row r="5" spans="1:8" x14ac:dyDescent="0.2">
      <c r="A5" s="19"/>
      <c r="B5" s="13"/>
      <c r="C5" s="14"/>
      <c r="D5" s="14"/>
      <c r="E5" s="14"/>
      <c r="F5" s="15"/>
      <c r="G5" s="19"/>
      <c r="H5" s="19"/>
    </row>
    <row r="6" spans="1:8" ht="39.75" customHeight="1" x14ac:dyDescent="0.2">
      <c r="A6" s="19"/>
      <c r="B6" s="29" t="s">
        <v>25</v>
      </c>
      <c r="C6" s="30"/>
      <c r="D6" s="30"/>
      <c r="E6" s="30"/>
      <c r="F6" s="31"/>
      <c r="G6" s="19"/>
      <c r="H6" s="19"/>
    </row>
    <row r="7" spans="1:8" x14ac:dyDescent="0.2">
      <c r="A7" s="12" t="s">
        <v>3</v>
      </c>
      <c r="B7" s="3" t="s">
        <v>4</v>
      </c>
      <c r="C7" s="3" t="s">
        <v>5</v>
      </c>
      <c r="D7" s="3" t="s">
        <v>20</v>
      </c>
      <c r="E7" s="3" t="s">
        <v>7</v>
      </c>
      <c r="F7" s="16" t="s">
        <v>8</v>
      </c>
      <c r="G7" s="3" t="s">
        <v>9</v>
      </c>
      <c r="H7" s="3" t="s">
        <v>10</v>
      </c>
    </row>
    <row r="8" spans="1:8" x14ac:dyDescent="0.2">
      <c r="A8" s="4" t="str">
        <f>"01.110/001/2025"</f>
        <v>01.110/001/2025</v>
      </c>
      <c r="B8" s="4" t="str">
        <f t="shared" ref="B8:B20" si="0">"ComIn NRW - Compliance und Integrität in der Landesverwaltung NRW"</f>
        <v>ComIn NRW - Compliance und Integrität in der Landesverwaltung NRW</v>
      </c>
      <c r="C8" s="5">
        <v>45665</v>
      </c>
      <c r="D8" s="5">
        <v>45666</v>
      </c>
      <c r="E8" s="4" t="str">
        <f t="shared" ref="E8:E20" si="1">"2 Tage"</f>
        <v>2 Tage</v>
      </c>
      <c r="F8" s="17">
        <v>460</v>
      </c>
      <c r="G8" s="4" t="s">
        <v>18</v>
      </c>
      <c r="H8" s="4" t="s">
        <v>11</v>
      </c>
    </row>
    <row r="9" spans="1:8" x14ac:dyDescent="0.2">
      <c r="A9" s="4" t="str">
        <f>"01.110/002/2025"</f>
        <v>01.110/002/2025</v>
      </c>
      <c r="B9" s="4" t="str">
        <f t="shared" si="0"/>
        <v>ComIn NRW - Compliance und Integrität in der Landesverwaltung NRW</v>
      </c>
      <c r="C9" s="5">
        <v>45691</v>
      </c>
      <c r="D9" s="5">
        <v>45692</v>
      </c>
      <c r="E9" s="4" t="str">
        <f t="shared" si="1"/>
        <v>2 Tage</v>
      </c>
      <c r="F9" s="17">
        <v>460</v>
      </c>
      <c r="G9" s="4" t="s">
        <v>18</v>
      </c>
      <c r="H9" s="4" t="s">
        <v>11</v>
      </c>
    </row>
    <row r="10" spans="1:8" x14ac:dyDescent="0.2">
      <c r="A10" s="4" t="str">
        <f>"01.110/003/2025"</f>
        <v>01.110/003/2025</v>
      </c>
      <c r="B10" s="4" t="str">
        <f t="shared" si="0"/>
        <v>ComIn NRW - Compliance und Integrität in der Landesverwaltung NRW</v>
      </c>
      <c r="C10" s="5">
        <v>45708</v>
      </c>
      <c r="D10" s="5">
        <v>45709</v>
      </c>
      <c r="E10" s="4" t="str">
        <f t="shared" si="1"/>
        <v>2 Tage</v>
      </c>
      <c r="F10" s="17">
        <v>460</v>
      </c>
      <c r="G10" s="4" t="s">
        <v>18</v>
      </c>
      <c r="H10" s="4" t="s">
        <v>11</v>
      </c>
    </row>
    <row r="11" spans="1:8" x14ac:dyDescent="0.2">
      <c r="A11" s="4" t="str">
        <f>"01.110/004/2025"</f>
        <v>01.110/004/2025</v>
      </c>
      <c r="B11" s="4" t="str">
        <f t="shared" si="0"/>
        <v>ComIn NRW - Compliance und Integrität in der Landesverwaltung NRW</v>
      </c>
      <c r="C11" s="5">
        <v>45743</v>
      </c>
      <c r="D11" s="5">
        <v>45744</v>
      </c>
      <c r="E11" s="4" t="str">
        <f t="shared" si="1"/>
        <v>2 Tage</v>
      </c>
      <c r="F11" s="17">
        <v>460</v>
      </c>
      <c r="G11" s="4" t="s">
        <v>18</v>
      </c>
      <c r="H11" s="4" t="s">
        <v>11</v>
      </c>
    </row>
    <row r="12" spans="1:8" x14ac:dyDescent="0.2">
      <c r="A12" s="4" t="str">
        <f>"01.110/005/2025"</f>
        <v>01.110/005/2025</v>
      </c>
      <c r="B12" s="4" t="str">
        <f t="shared" si="0"/>
        <v>ComIn NRW - Compliance und Integrität in der Landesverwaltung NRW</v>
      </c>
      <c r="C12" s="5">
        <v>45754</v>
      </c>
      <c r="D12" s="5">
        <v>45755</v>
      </c>
      <c r="E12" s="4" t="str">
        <f t="shared" si="1"/>
        <v>2 Tage</v>
      </c>
      <c r="F12" s="17">
        <v>460</v>
      </c>
      <c r="G12" s="4" t="s">
        <v>18</v>
      </c>
      <c r="H12" s="4" t="s">
        <v>11</v>
      </c>
    </row>
    <row r="13" spans="1:8" x14ac:dyDescent="0.2">
      <c r="A13" s="4" t="str">
        <f>"01.110/006/2025"</f>
        <v>01.110/006/2025</v>
      </c>
      <c r="B13" s="4" t="str">
        <f t="shared" si="0"/>
        <v>ComIn NRW - Compliance und Integrität in der Landesverwaltung NRW</v>
      </c>
      <c r="C13" s="5">
        <v>45796</v>
      </c>
      <c r="D13" s="5">
        <v>45797</v>
      </c>
      <c r="E13" s="4" t="str">
        <f t="shared" si="1"/>
        <v>2 Tage</v>
      </c>
      <c r="F13" s="17">
        <v>460</v>
      </c>
      <c r="G13" s="4" t="s">
        <v>18</v>
      </c>
      <c r="H13" s="4" t="s">
        <v>11</v>
      </c>
    </row>
    <row r="14" spans="1:8" x14ac:dyDescent="0.2">
      <c r="A14" s="4" t="str">
        <f>"01.110/007/2025"</f>
        <v>01.110/007/2025</v>
      </c>
      <c r="B14" s="4" t="str">
        <f t="shared" si="0"/>
        <v>ComIn NRW - Compliance und Integrität in der Landesverwaltung NRW</v>
      </c>
      <c r="C14" s="5">
        <v>45812</v>
      </c>
      <c r="D14" s="5">
        <v>45813</v>
      </c>
      <c r="E14" s="4" t="str">
        <f t="shared" si="1"/>
        <v>2 Tage</v>
      </c>
      <c r="F14" s="17">
        <v>460</v>
      </c>
      <c r="G14" s="4" t="s">
        <v>18</v>
      </c>
      <c r="H14" s="4" t="s">
        <v>11</v>
      </c>
    </row>
    <row r="15" spans="1:8" x14ac:dyDescent="0.2">
      <c r="A15" s="4" t="str">
        <f>"01.110/008/2025"</f>
        <v>01.110/008/2025</v>
      </c>
      <c r="B15" s="4" t="str">
        <f t="shared" si="0"/>
        <v>ComIn NRW - Compliance und Integrität in der Landesverwaltung NRW</v>
      </c>
      <c r="C15" s="5">
        <v>45869</v>
      </c>
      <c r="D15" s="5">
        <v>45870</v>
      </c>
      <c r="E15" s="4" t="str">
        <f t="shared" si="1"/>
        <v>2 Tage</v>
      </c>
      <c r="F15" s="17">
        <v>460</v>
      </c>
      <c r="G15" s="4" t="s">
        <v>18</v>
      </c>
      <c r="H15" s="4" t="s">
        <v>11</v>
      </c>
    </row>
    <row r="16" spans="1:8" x14ac:dyDescent="0.2">
      <c r="A16" s="4" t="str">
        <f>"01.110/009/2025"</f>
        <v>01.110/009/2025</v>
      </c>
      <c r="B16" s="4" t="str">
        <f t="shared" si="0"/>
        <v>ComIn NRW - Compliance und Integrität in der Landesverwaltung NRW</v>
      </c>
      <c r="C16" s="5">
        <v>45894</v>
      </c>
      <c r="D16" s="5">
        <v>45895</v>
      </c>
      <c r="E16" s="4" t="str">
        <f t="shared" si="1"/>
        <v>2 Tage</v>
      </c>
      <c r="F16" s="17">
        <v>460</v>
      </c>
      <c r="G16" s="4" t="s">
        <v>18</v>
      </c>
      <c r="H16" s="4" t="s">
        <v>11</v>
      </c>
    </row>
    <row r="17" spans="1:8" x14ac:dyDescent="0.2">
      <c r="A17" s="4" t="str">
        <f>"01.110/011/2025"</f>
        <v>01.110/011/2025</v>
      </c>
      <c r="B17" s="4" t="str">
        <f t="shared" si="0"/>
        <v>ComIn NRW - Compliance und Integrität in der Landesverwaltung NRW</v>
      </c>
      <c r="C17" s="5">
        <v>45922</v>
      </c>
      <c r="D17" s="5">
        <v>45923</v>
      </c>
      <c r="E17" s="4" t="str">
        <f t="shared" si="1"/>
        <v>2 Tage</v>
      </c>
      <c r="F17" s="17">
        <v>460</v>
      </c>
      <c r="G17" s="4" t="s">
        <v>18</v>
      </c>
      <c r="H17" s="4" t="s">
        <v>11</v>
      </c>
    </row>
    <row r="18" spans="1:8" x14ac:dyDescent="0.2">
      <c r="A18" s="4" t="str">
        <f>"01.110/012/2025"</f>
        <v>01.110/012/2025</v>
      </c>
      <c r="B18" s="4" t="str">
        <f t="shared" si="0"/>
        <v>ComIn NRW - Compliance und Integrität in der Landesverwaltung NRW</v>
      </c>
      <c r="C18" s="5">
        <v>45939</v>
      </c>
      <c r="D18" s="5">
        <v>45940</v>
      </c>
      <c r="E18" s="4" t="str">
        <f t="shared" si="1"/>
        <v>2 Tage</v>
      </c>
      <c r="F18" s="17">
        <v>460</v>
      </c>
      <c r="G18" s="4" t="s">
        <v>18</v>
      </c>
      <c r="H18" s="4" t="s">
        <v>11</v>
      </c>
    </row>
    <row r="19" spans="1:8" x14ac:dyDescent="0.2">
      <c r="A19" s="4" t="str">
        <f>"01.110/015/2025"</f>
        <v>01.110/015/2025</v>
      </c>
      <c r="B19" s="4" t="str">
        <f t="shared" si="0"/>
        <v>ComIn NRW - Compliance und Integrität in der Landesverwaltung NRW</v>
      </c>
      <c r="C19" s="5">
        <v>45993</v>
      </c>
      <c r="D19" s="5">
        <v>45994</v>
      </c>
      <c r="E19" s="4" t="str">
        <f t="shared" si="1"/>
        <v>2 Tage</v>
      </c>
      <c r="F19" s="17">
        <v>460</v>
      </c>
      <c r="G19" s="4" t="s">
        <v>18</v>
      </c>
      <c r="H19" s="4" t="s">
        <v>11</v>
      </c>
    </row>
    <row r="20" spans="1:8" x14ac:dyDescent="0.2">
      <c r="A20" s="4" t="str">
        <f>"01.110/016/2025"</f>
        <v>01.110/016/2025</v>
      </c>
      <c r="B20" s="4" t="str">
        <f t="shared" si="0"/>
        <v>ComIn NRW - Compliance und Integrität in der Landesverwaltung NRW</v>
      </c>
      <c r="C20" s="5">
        <v>45999</v>
      </c>
      <c r="D20" s="5">
        <v>46000</v>
      </c>
      <c r="E20" s="4" t="str">
        <f t="shared" si="1"/>
        <v>2 Tage</v>
      </c>
      <c r="F20" s="17">
        <v>460</v>
      </c>
      <c r="G20" s="4" t="s">
        <v>18</v>
      </c>
      <c r="H20" s="4" t="s">
        <v>11</v>
      </c>
    </row>
    <row r="21" spans="1:8" x14ac:dyDescent="0.2">
      <c r="A21" s="4" t="str">
        <f>"01.114/001/2025"</f>
        <v>01.114/001/2025</v>
      </c>
      <c r="B21" s="4" t="str">
        <f t="shared" ref="B21:B52" si="2">"Führung I - Kommunikation und Führung"</f>
        <v>Führung I - Kommunikation und Führung</v>
      </c>
      <c r="C21" s="5">
        <v>45663</v>
      </c>
      <c r="D21" s="5">
        <v>45737</v>
      </c>
      <c r="E21" s="4" t="str">
        <f>"3x3 Tage"</f>
        <v>3x3 Tage</v>
      </c>
      <c r="F21" s="17">
        <v>2170</v>
      </c>
      <c r="G21" s="4"/>
      <c r="H21" s="4" t="s">
        <v>11</v>
      </c>
    </row>
    <row r="22" spans="1:8" x14ac:dyDescent="0.2">
      <c r="A22" s="4" t="str">
        <f>"01.114/001 a/2025"</f>
        <v>01.114/001 a/2025</v>
      </c>
      <c r="B22" s="4" t="str">
        <f t="shared" si="2"/>
        <v>Führung I - Kommunikation und Führung</v>
      </c>
      <c r="C22" s="5">
        <v>45663</v>
      </c>
      <c r="D22" s="5">
        <v>45665</v>
      </c>
      <c r="E22" s="4"/>
      <c r="F22" s="17"/>
      <c r="G22" s="4" t="s">
        <v>18</v>
      </c>
      <c r="H22" s="4" t="s">
        <v>11</v>
      </c>
    </row>
    <row r="23" spans="1:8" x14ac:dyDescent="0.2">
      <c r="A23" s="4" t="str">
        <f>"01.114/001 b/2025"</f>
        <v>01.114/001 b/2025</v>
      </c>
      <c r="B23" s="4" t="str">
        <f t="shared" si="2"/>
        <v>Führung I - Kommunikation und Führung</v>
      </c>
      <c r="C23" s="5">
        <v>45698</v>
      </c>
      <c r="D23" s="5">
        <v>45700</v>
      </c>
      <c r="E23" s="4"/>
      <c r="F23" s="17"/>
      <c r="G23" s="4" t="s">
        <v>18</v>
      </c>
      <c r="H23" s="4" t="s">
        <v>11</v>
      </c>
    </row>
    <row r="24" spans="1:8" x14ac:dyDescent="0.2">
      <c r="A24" s="4" t="str">
        <f>"01.114/001 c/2025"</f>
        <v>01.114/001 c/2025</v>
      </c>
      <c r="B24" s="4" t="str">
        <f t="shared" si="2"/>
        <v>Führung I - Kommunikation und Führung</v>
      </c>
      <c r="C24" s="5">
        <v>45735</v>
      </c>
      <c r="D24" s="5">
        <v>45737</v>
      </c>
      <c r="E24" s="4"/>
      <c r="F24" s="17"/>
      <c r="G24" s="4" t="s">
        <v>18</v>
      </c>
      <c r="H24" s="4" t="s">
        <v>11</v>
      </c>
    </row>
    <row r="25" spans="1:8" x14ac:dyDescent="0.2">
      <c r="A25" s="4" t="str">
        <f>"01.114/002/2025"</f>
        <v>01.114/002/2025</v>
      </c>
      <c r="B25" s="4" t="str">
        <f t="shared" si="2"/>
        <v>Führung I - Kommunikation und Führung</v>
      </c>
      <c r="C25" s="5">
        <v>45672</v>
      </c>
      <c r="D25" s="5">
        <v>45799</v>
      </c>
      <c r="E25" s="4" t="str">
        <f>"3x3 Tage"</f>
        <v>3x3 Tage</v>
      </c>
      <c r="F25" s="17">
        <v>2170</v>
      </c>
      <c r="G25" s="4"/>
      <c r="H25" s="4" t="s">
        <v>11</v>
      </c>
    </row>
    <row r="26" spans="1:8" x14ac:dyDescent="0.2">
      <c r="A26" s="4" t="str">
        <f>"01.114/002 a/2025"</f>
        <v>01.114/002 a/2025</v>
      </c>
      <c r="B26" s="4" t="str">
        <f t="shared" si="2"/>
        <v>Führung I - Kommunikation und Führung</v>
      </c>
      <c r="C26" s="5">
        <v>45672</v>
      </c>
      <c r="D26" s="5">
        <v>45674</v>
      </c>
      <c r="E26" s="4"/>
      <c r="F26" s="17"/>
      <c r="G26" s="4" t="s">
        <v>18</v>
      </c>
      <c r="H26" s="4" t="s">
        <v>11</v>
      </c>
    </row>
    <row r="27" spans="1:8" x14ac:dyDescent="0.2">
      <c r="A27" s="4" t="str">
        <f>"01.114/002 c/2025"</f>
        <v>01.114/002 c/2025</v>
      </c>
      <c r="B27" s="4" t="str">
        <f t="shared" si="2"/>
        <v>Führung I - Kommunikation und Führung</v>
      </c>
      <c r="C27" s="5">
        <v>45797</v>
      </c>
      <c r="D27" s="5">
        <v>45799</v>
      </c>
      <c r="E27" s="4"/>
      <c r="F27" s="17"/>
      <c r="G27" s="4" t="s">
        <v>18</v>
      </c>
      <c r="H27" s="4" t="s">
        <v>11</v>
      </c>
    </row>
    <row r="28" spans="1:8" x14ac:dyDescent="0.2">
      <c r="A28" s="4" t="str">
        <f>"01.114/002 b/2025"</f>
        <v>01.114/002 b/2025</v>
      </c>
      <c r="B28" s="4" t="str">
        <f t="shared" si="2"/>
        <v>Führung I - Kommunikation und Führung</v>
      </c>
      <c r="C28" s="5">
        <v>45747</v>
      </c>
      <c r="D28" s="5">
        <v>45749</v>
      </c>
      <c r="E28" s="4"/>
      <c r="F28" s="17"/>
      <c r="G28" s="4" t="s">
        <v>18</v>
      </c>
      <c r="H28" s="4" t="s">
        <v>11</v>
      </c>
    </row>
    <row r="29" spans="1:8" x14ac:dyDescent="0.2">
      <c r="A29" s="4" t="str">
        <f>"01.114/003/2025"</f>
        <v>01.114/003/2025</v>
      </c>
      <c r="B29" s="4" t="str">
        <f t="shared" si="2"/>
        <v>Führung I - Kommunikation und Führung</v>
      </c>
      <c r="C29" s="5">
        <v>45691</v>
      </c>
      <c r="D29" s="5">
        <v>45863</v>
      </c>
      <c r="E29" s="4" t="str">
        <f>"3x3 Tage"</f>
        <v>3x3 Tage</v>
      </c>
      <c r="F29" s="17">
        <v>2170</v>
      </c>
      <c r="G29" s="4"/>
      <c r="H29" s="4" t="s">
        <v>11</v>
      </c>
    </row>
    <row r="30" spans="1:8" x14ac:dyDescent="0.2">
      <c r="A30" s="4" t="str">
        <f>"01.114/003 a/2025"</f>
        <v>01.114/003 a/2025</v>
      </c>
      <c r="B30" s="4" t="str">
        <f t="shared" si="2"/>
        <v>Führung I - Kommunikation und Führung</v>
      </c>
      <c r="C30" s="5">
        <v>45691</v>
      </c>
      <c r="D30" s="5">
        <v>45693</v>
      </c>
      <c r="E30" s="4"/>
      <c r="F30" s="17"/>
      <c r="G30" s="4" t="s">
        <v>18</v>
      </c>
      <c r="H30" s="4" t="s">
        <v>11</v>
      </c>
    </row>
    <row r="31" spans="1:8" x14ac:dyDescent="0.2">
      <c r="A31" s="4" t="str">
        <f>"01.114/003 b/2025"</f>
        <v>01.114/003 b/2025</v>
      </c>
      <c r="B31" s="4" t="str">
        <f t="shared" si="2"/>
        <v>Führung I - Kommunikation und Führung</v>
      </c>
      <c r="C31" s="5">
        <v>45791</v>
      </c>
      <c r="D31" s="5">
        <v>45793</v>
      </c>
      <c r="E31" s="4"/>
      <c r="F31" s="17"/>
      <c r="G31" s="4" t="s">
        <v>18</v>
      </c>
      <c r="H31" s="4" t="s">
        <v>11</v>
      </c>
    </row>
    <row r="32" spans="1:8" x14ac:dyDescent="0.2">
      <c r="A32" s="4" t="str">
        <f>"01.114/003 c/2025"</f>
        <v>01.114/003 c/2025</v>
      </c>
      <c r="B32" s="4" t="str">
        <f t="shared" si="2"/>
        <v>Führung I - Kommunikation und Führung</v>
      </c>
      <c r="C32" s="5">
        <v>45861</v>
      </c>
      <c r="D32" s="5">
        <v>45863</v>
      </c>
      <c r="E32" s="4"/>
      <c r="F32" s="17"/>
      <c r="G32" s="4" t="s">
        <v>18</v>
      </c>
      <c r="H32" s="4" t="s">
        <v>11</v>
      </c>
    </row>
    <row r="33" spans="1:8" x14ac:dyDescent="0.2">
      <c r="A33" s="4" t="str">
        <f>"01.114/004/2025"</f>
        <v>01.114/004/2025</v>
      </c>
      <c r="B33" s="4" t="str">
        <f t="shared" si="2"/>
        <v>Führung I - Kommunikation und Führung</v>
      </c>
      <c r="C33" s="5">
        <v>45705</v>
      </c>
      <c r="D33" s="5">
        <v>45791</v>
      </c>
      <c r="E33" s="4" t="str">
        <f>"3x3 Tage"</f>
        <v>3x3 Tage</v>
      </c>
      <c r="F33" s="17">
        <v>2170</v>
      </c>
      <c r="G33" s="4"/>
      <c r="H33" s="4" t="s">
        <v>11</v>
      </c>
    </row>
    <row r="34" spans="1:8" x14ac:dyDescent="0.2">
      <c r="A34" s="4" t="str">
        <f>"01.114/004 a/2025"</f>
        <v>01.114/004 a/2025</v>
      </c>
      <c r="B34" s="4" t="str">
        <f t="shared" si="2"/>
        <v>Führung I - Kommunikation und Führung</v>
      </c>
      <c r="C34" s="5">
        <v>45705</v>
      </c>
      <c r="D34" s="5">
        <v>45707</v>
      </c>
      <c r="E34" s="4"/>
      <c r="F34" s="17"/>
      <c r="G34" s="4" t="s">
        <v>18</v>
      </c>
      <c r="H34" s="4" t="s">
        <v>11</v>
      </c>
    </row>
    <row r="35" spans="1:8" x14ac:dyDescent="0.2">
      <c r="A35" s="4" t="str">
        <f>"01.114/004 b/2025"</f>
        <v>01.114/004 b/2025</v>
      </c>
      <c r="B35" s="4" t="str">
        <f t="shared" si="2"/>
        <v>Führung I - Kommunikation und Führung</v>
      </c>
      <c r="C35" s="5">
        <v>45756</v>
      </c>
      <c r="D35" s="5">
        <v>45758</v>
      </c>
      <c r="E35" s="4"/>
      <c r="F35" s="17"/>
      <c r="G35" s="4" t="s">
        <v>18</v>
      </c>
      <c r="H35" s="4" t="s">
        <v>11</v>
      </c>
    </row>
    <row r="36" spans="1:8" x14ac:dyDescent="0.2">
      <c r="A36" s="4" t="str">
        <f>"01.114/004 c/2025"</f>
        <v>01.114/004 c/2025</v>
      </c>
      <c r="B36" s="4" t="str">
        <f t="shared" si="2"/>
        <v>Führung I - Kommunikation und Führung</v>
      </c>
      <c r="C36" s="5">
        <v>45789</v>
      </c>
      <c r="D36" s="5">
        <v>45791</v>
      </c>
      <c r="E36" s="4"/>
      <c r="F36" s="17"/>
      <c r="G36" s="4" t="s">
        <v>18</v>
      </c>
      <c r="H36" s="4" t="s">
        <v>11</v>
      </c>
    </row>
    <row r="37" spans="1:8" x14ac:dyDescent="0.2">
      <c r="A37" s="4" t="str">
        <f>"01.114/005/2025"</f>
        <v>01.114/005/2025</v>
      </c>
      <c r="B37" s="4" t="str">
        <f t="shared" si="2"/>
        <v>Führung I - Kommunikation und Führung</v>
      </c>
      <c r="C37" s="5">
        <v>45707</v>
      </c>
      <c r="D37" s="5">
        <v>45847</v>
      </c>
      <c r="E37" s="4" t="str">
        <f>"3x3 Tage"</f>
        <v>3x3 Tage</v>
      </c>
      <c r="F37" s="17">
        <v>2170</v>
      </c>
      <c r="G37" s="4"/>
      <c r="H37" s="4" t="s">
        <v>11</v>
      </c>
    </row>
    <row r="38" spans="1:8" x14ac:dyDescent="0.2">
      <c r="A38" s="4" t="str">
        <f>"01.114/005 a/2025"</f>
        <v>01.114/005 a/2025</v>
      </c>
      <c r="B38" s="4" t="str">
        <f t="shared" si="2"/>
        <v>Führung I - Kommunikation und Führung</v>
      </c>
      <c r="C38" s="5">
        <v>45707</v>
      </c>
      <c r="D38" s="5">
        <v>45709</v>
      </c>
      <c r="E38" s="4"/>
      <c r="F38" s="17"/>
      <c r="G38" s="4" t="s">
        <v>18</v>
      </c>
      <c r="H38" s="4" t="s">
        <v>11</v>
      </c>
    </row>
    <row r="39" spans="1:8" x14ac:dyDescent="0.2">
      <c r="A39" s="4" t="str">
        <f>"01.114/005 b/2025"</f>
        <v>01.114/005 b/2025</v>
      </c>
      <c r="B39" s="4" t="str">
        <f t="shared" si="2"/>
        <v>Führung I - Kommunikation und Führung</v>
      </c>
      <c r="C39" s="5">
        <v>45747</v>
      </c>
      <c r="D39" s="5">
        <v>45749</v>
      </c>
      <c r="E39" s="4"/>
      <c r="F39" s="17"/>
      <c r="G39" s="4" t="s">
        <v>18</v>
      </c>
      <c r="H39" s="4" t="s">
        <v>11</v>
      </c>
    </row>
    <row r="40" spans="1:8" x14ac:dyDescent="0.2">
      <c r="A40" s="4" t="str">
        <f>"01.114/005 c/2025"</f>
        <v>01.114/005 c/2025</v>
      </c>
      <c r="B40" s="4" t="str">
        <f t="shared" si="2"/>
        <v>Führung I - Kommunikation und Führung</v>
      </c>
      <c r="C40" s="5">
        <v>45845</v>
      </c>
      <c r="D40" s="5">
        <v>45847</v>
      </c>
      <c r="E40" s="4"/>
      <c r="F40" s="17"/>
      <c r="G40" s="4" t="s">
        <v>18</v>
      </c>
      <c r="H40" s="4" t="s">
        <v>11</v>
      </c>
    </row>
    <row r="41" spans="1:8" x14ac:dyDescent="0.2">
      <c r="A41" s="4" t="str">
        <f>"01.114/007/2025"</f>
        <v>01.114/007/2025</v>
      </c>
      <c r="B41" s="4" t="str">
        <f t="shared" si="2"/>
        <v>Führung I - Kommunikation und Führung</v>
      </c>
      <c r="C41" s="5">
        <v>45735</v>
      </c>
      <c r="D41" s="5">
        <v>45847</v>
      </c>
      <c r="E41" s="4" t="str">
        <f>"3x3 Tage"</f>
        <v>3x3 Tage</v>
      </c>
      <c r="F41" s="17">
        <v>2170</v>
      </c>
      <c r="G41" s="4"/>
      <c r="H41" s="4" t="s">
        <v>11</v>
      </c>
    </row>
    <row r="42" spans="1:8" x14ac:dyDescent="0.2">
      <c r="A42" s="4" t="str">
        <f>"01.114/007 a/2025"</f>
        <v>01.114/007 a/2025</v>
      </c>
      <c r="B42" s="4" t="str">
        <f t="shared" si="2"/>
        <v>Führung I - Kommunikation und Führung</v>
      </c>
      <c r="C42" s="5">
        <v>45735</v>
      </c>
      <c r="D42" s="5">
        <v>45737</v>
      </c>
      <c r="E42" s="4"/>
      <c r="F42" s="17"/>
      <c r="G42" s="4" t="s">
        <v>18</v>
      </c>
      <c r="H42" s="4" t="s">
        <v>11</v>
      </c>
    </row>
    <row r="43" spans="1:8" x14ac:dyDescent="0.2">
      <c r="A43" s="4" t="str">
        <f>"01.114/007 b/2025"</f>
        <v>01.114/007 b/2025</v>
      </c>
      <c r="B43" s="4" t="str">
        <f t="shared" si="2"/>
        <v>Führung I - Kommunikation und Führung</v>
      </c>
      <c r="C43" s="5">
        <v>45769</v>
      </c>
      <c r="D43" s="5">
        <v>45771</v>
      </c>
      <c r="E43" s="4"/>
      <c r="F43" s="17"/>
      <c r="G43" s="4" t="s">
        <v>18</v>
      </c>
      <c r="H43" s="4" t="s">
        <v>11</v>
      </c>
    </row>
    <row r="44" spans="1:8" x14ac:dyDescent="0.2">
      <c r="A44" s="4" t="str">
        <f>"01.114/007 c/2025"</f>
        <v>01.114/007 c/2025</v>
      </c>
      <c r="B44" s="4" t="str">
        <f t="shared" si="2"/>
        <v>Führung I - Kommunikation und Führung</v>
      </c>
      <c r="C44" s="5">
        <v>45845</v>
      </c>
      <c r="D44" s="5">
        <v>45847</v>
      </c>
      <c r="E44" s="4"/>
      <c r="F44" s="17"/>
      <c r="G44" s="4" t="s">
        <v>18</v>
      </c>
      <c r="H44" s="4" t="s">
        <v>11</v>
      </c>
    </row>
    <row r="45" spans="1:8" x14ac:dyDescent="0.2">
      <c r="A45" s="4" t="str">
        <f>"01.114/008/2025"</f>
        <v>01.114/008/2025</v>
      </c>
      <c r="B45" s="4" t="str">
        <f t="shared" si="2"/>
        <v>Führung I - Kommunikation und Führung</v>
      </c>
      <c r="C45" s="5">
        <v>45754</v>
      </c>
      <c r="D45" s="5">
        <v>45856</v>
      </c>
      <c r="E45" s="4" t="str">
        <f>"3x3 Tage"</f>
        <v>3x3 Tage</v>
      </c>
      <c r="F45" s="17">
        <v>2170</v>
      </c>
      <c r="G45" s="4"/>
      <c r="H45" s="4" t="s">
        <v>11</v>
      </c>
    </row>
    <row r="46" spans="1:8" x14ac:dyDescent="0.2">
      <c r="A46" s="4" t="str">
        <f>"01.114/008 a/2025"</f>
        <v>01.114/008 a/2025</v>
      </c>
      <c r="B46" s="4" t="str">
        <f t="shared" si="2"/>
        <v>Führung I - Kommunikation und Führung</v>
      </c>
      <c r="C46" s="5">
        <v>45754</v>
      </c>
      <c r="D46" s="5">
        <v>45756</v>
      </c>
      <c r="E46" s="4"/>
      <c r="F46" s="17"/>
      <c r="G46" s="4" t="s">
        <v>18</v>
      </c>
      <c r="H46" s="4" t="s">
        <v>11</v>
      </c>
    </row>
    <row r="47" spans="1:8" x14ac:dyDescent="0.2">
      <c r="A47" s="4" t="str">
        <f>"01.114/008 b/2025"</f>
        <v>01.114/008 b/2025</v>
      </c>
      <c r="B47" s="4" t="str">
        <f t="shared" si="2"/>
        <v>Führung I - Kommunikation und Führung</v>
      </c>
      <c r="C47" s="5">
        <v>45810</v>
      </c>
      <c r="D47" s="5">
        <v>45812</v>
      </c>
      <c r="E47" s="4"/>
      <c r="F47" s="17"/>
      <c r="G47" s="4" t="s">
        <v>18</v>
      </c>
      <c r="H47" s="4" t="s">
        <v>11</v>
      </c>
    </row>
    <row r="48" spans="1:8" x14ac:dyDescent="0.2">
      <c r="A48" s="4" t="str">
        <f>"01.114/008 c/2025"</f>
        <v>01.114/008 c/2025</v>
      </c>
      <c r="B48" s="4" t="str">
        <f t="shared" si="2"/>
        <v>Führung I - Kommunikation und Führung</v>
      </c>
      <c r="C48" s="5">
        <v>45854</v>
      </c>
      <c r="D48" s="5">
        <v>45856</v>
      </c>
      <c r="E48" s="4"/>
      <c r="F48" s="17"/>
      <c r="G48" s="4" t="s">
        <v>18</v>
      </c>
      <c r="H48" s="4" t="s">
        <v>11</v>
      </c>
    </row>
    <row r="49" spans="1:8" x14ac:dyDescent="0.2">
      <c r="A49" s="4" t="str">
        <f>"01.114/009/2025"</f>
        <v>01.114/009/2025</v>
      </c>
      <c r="B49" s="4" t="str">
        <f t="shared" si="2"/>
        <v>Führung I - Kommunikation und Führung</v>
      </c>
      <c r="C49" s="5">
        <v>45761</v>
      </c>
      <c r="D49" s="5">
        <v>45842</v>
      </c>
      <c r="E49" s="4" t="str">
        <f>"3x3 Tage"</f>
        <v>3x3 Tage</v>
      </c>
      <c r="F49" s="17">
        <v>2170</v>
      </c>
      <c r="G49" s="4"/>
      <c r="H49" s="4" t="s">
        <v>11</v>
      </c>
    </row>
    <row r="50" spans="1:8" x14ac:dyDescent="0.2">
      <c r="A50" s="4" t="str">
        <f>"01.114/009 a/2025"</f>
        <v>01.114/009 a/2025</v>
      </c>
      <c r="B50" s="4" t="str">
        <f t="shared" si="2"/>
        <v>Führung I - Kommunikation und Führung</v>
      </c>
      <c r="C50" s="5">
        <v>45761</v>
      </c>
      <c r="D50" s="5">
        <v>45763</v>
      </c>
      <c r="E50" s="4"/>
      <c r="F50" s="17"/>
      <c r="G50" s="4" t="s">
        <v>18</v>
      </c>
      <c r="H50" s="4" t="s">
        <v>11</v>
      </c>
    </row>
    <row r="51" spans="1:8" x14ac:dyDescent="0.2">
      <c r="A51" s="4" t="str">
        <f>"01.114/009 b/2025"</f>
        <v>01.114/009 b/2025</v>
      </c>
      <c r="B51" s="4" t="str">
        <f t="shared" si="2"/>
        <v>Führung I - Kommunikation und Führung</v>
      </c>
      <c r="C51" s="5">
        <v>45789</v>
      </c>
      <c r="D51" s="5">
        <v>45791</v>
      </c>
      <c r="E51" s="4"/>
      <c r="F51" s="17"/>
      <c r="G51" s="4" t="s">
        <v>18</v>
      </c>
      <c r="H51" s="4" t="s">
        <v>11</v>
      </c>
    </row>
    <row r="52" spans="1:8" x14ac:dyDescent="0.2">
      <c r="A52" s="4" t="str">
        <f>"01.114/009 c/2025"</f>
        <v>01.114/009 c/2025</v>
      </c>
      <c r="B52" s="4" t="str">
        <f t="shared" si="2"/>
        <v>Führung I - Kommunikation und Führung</v>
      </c>
      <c r="C52" s="5">
        <v>45840</v>
      </c>
      <c r="D52" s="5">
        <v>45842</v>
      </c>
      <c r="E52" s="4"/>
      <c r="F52" s="17"/>
      <c r="G52" s="4" t="s">
        <v>18</v>
      </c>
      <c r="H52" s="4" t="s">
        <v>11</v>
      </c>
    </row>
    <row r="53" spans="1:8" x14ac:dyDescent="0.2">
      <c r="A53" s="4" t="str">
        <f>"01.114/010/2025"</f>
        <v>01.114/010/2025</v>
      </c>
      <c r="B53" s="4" t="str">
        <f t="shared" ref="B53:B80" si="3">"Führung I - Kommunikation und Führung"</f>
        <v>Führung I - Kommunikation und Führung</v>
      </c>
      <c r="C53" s="5">
        <v>45769</v>
      </c>
      <c r="D53" s="5">
        <v>45868</v>
      </c>
      <c r="E53" s="4" t="str">
        <f>"3x3 Tage"</f>
        <v>3x3 Tage</v>
      </c>
      <c r="F53" s="17">
        <v>2170</v>
      </c>
      <c r="G53" s="4"/>
      <c r="H53" s="4" t="s">
        <v>11</v>
      </c>
    </row>
    <row r="54" spans="1:8" x14ac:dyDescent="0.2">
      <c r="A54" s="4" t="str">
        <f>"01.114/010 a/2025"</f>
        <v>01.114/010 a/2025</v>
      </c>
      <c r="B54" s="4" t="str">
        <f t="shared" si="3"/>
        <v>Führung I - Kommunikation und Führung</v>
      </c>
      <c r="C54" s="5">
        <v>45769</v>
      </c>
      <c r="D54" s="5">
        <v>45771</v>
      </c>
      <c r="E54" s="4"/>
      <c r="F54" s="17"/>
      <c r="G54" s="4" t="s">
        <v>18</v>
      </c>
      <c r="H54" s="4" t="s">
        <v>11</v>
      </c>
    </row>
    <row r="55" spans="1:8" x14ac:dyDescent="0.2">
      <c r="A55" s="4" t="str">
        <f>"01.114/010 b/2025"</f>
        <v>01.114/010 b/2025</v>
      </c>
      <c r="B55" s="4" t="str">
        <f t="shared" si="3"/>
        <v>Führung I - Kommunikation und Führung</v>
      </c>
      <c r="C55" s="5">
        <v>45824</v>
      </c>
      <c r="D55" s="5">
        <v>45826</v>
      </c>
      <c r="E55" s="4"/>
      <c r="F55" s="17"/>
      <c r="G55" s="4" t="s">
        <v>18</v>
      </c>
      <c r="H55" s="4" t="s">
        <v>11</v>
      </c>
    </row>
    <row r="56" spans="1:8" x14ac:dyDescent="0.2">
      <c r="A56" s="4" t="str">
        <f>"01.114/010 c/2025"</f>
        <v>01.114/010 c/2025</v>
      </c>
      <c r="B56" s="4" t="str">
        <f t="shared" si="3"/>
        <v>Führung I - Kommunikation und Führung</v>
      </c>
      <c r="C56" s="5">
        <v>45866</v>
      </c>
      <c r="D56" s="5">
        <v>45868</v>
      </c>
      <c r="E56" s="4"/>
      <c r="F56" s="17"/>
      <c r="G56" s="4" t="s">
        <v>18</v>
      </c>
      <c r="H56" s="4" t="s">
        <v>11</v>
      </c>
    </row>
    <row r="57" spans="1:8" x14ac:dyDescent="0.2">
      <c r="A57" s="4" t="str">
        <f>"01.114/011/2025"</f>
        <v>01.114/011/2025</v>
      </c>
      <c r="B57" s="4" t="str">
        <f t="shared" si="3"/>
        <v>Führung I - Kommunikation und Führung</v>
      </c>
      <c r="C57" s="5">
        <v>45754</v>
      </c>
      <c r="D57" s="5">
        <v>45905</v>
      </c>
      <c r="E57" s="4" t="str">
        <f>"3x3 Tage"</f>
        <v>3x3 Tage</v>
      </c>
      <c r="F57" s="17">
        <v>2170</v>
      </c>
      <c r="G57" s="4"/>
      <c r="H57" s="4" t="s">
        <v>11</v>
      </c>
    </row>
    <row r="58" spans="1:8" x14ac:dyDescent="0.2">
      <c r="A58" s="4" t="str">
        <f>"01.114/011 b/2025"</f>
        <v>01.114/011 b/2025</v>
      </c>
      <c r="B58" s="4" t="str">
        <f t="shared" si="3"/>
        <v>Führung I - Kommunikation und Führung</v>
      </c>
      <c r="C58" s="5">
        <v>45867</v>
      </c>
      <c r="D58" s="5">
        <v>45869</v>
      </c>
      <c r="E58" s="4"/>
      <c r="F58" s="17"/>
      <c r="G58" s="4" t="s">
        <v>18</v>
      </c>
      <c r="H58" s="4" t="s">
        <v>11</v>
      </c>
    </row>
    <row r="59" spans="1:8" x14ac:dyDescent="0.2">
      <c r="A59" s="4" t="str">
        <f>"01.114/011 c/2025"</f>
        <v>01.114/011 c/2025</v>
      </c>
      <c r="B59" s="4" t="str">
        <f t="shared" si="3"/>
        <v>Führung I - Kommunikation und Führung</v>
      </c>
      <c r="C59" s="5">
        <v>45903</v>
      </c>
      <c r="D59" s="5">
        <v>45905</v>
      </c>
      <c r="E59" s="4"/>
      <c r="F59" s="17"/>
      <c r="G59" s="4" t="s">
        <v>18</v>
      </c>
      <c r="H59" s="4" t="s">
        <v>11</v>
      </c>
    </row>
    <row r="60" spans="1:8" x14ac:dyDescent="0.2">
      <c r="A60" s="4" t="str">
        <f>"01.114/011 a/2025"</f>
        <v>01.114/011 a/2025</v>
      </c>
      <c r="B60" s="4" t="str">
        <f t="shared" si="3"/>
        <v>Führung I - Kommunikation und Führung</v>
      </c>
      <c r="C60" s="5">
        <v>45754</v>
      </c>
      <c r="D60" s="5">
        <v>45756</v>
      </c>
      <c r="E60" s="4"/>
      <c r="F60" s="17"/>
      <c r="G60" s="4" t="s">
        <v>18</v>
      </c>
      <c r="H60" s="4" t="s">
        <v>11</v>
      </c>
    </row>
    <row r="61" spans="1:8" x14ac:dyDescent="0.2">
      <c r="A61" s="4" t="str">
        <f>"01.114/012/2025"</f>
        <v>01.114/012/2025</v>
      </c>
      <c r="B61" s="4" t="str">
        <f t="shared" si="3"/>
        <v>Führung I - Kommunikation und Führung</v>
      </c>
      <c r="C61" s="5">
        <v>45803</v>
      </c>
      <c r="D61" s="5">
        <v>45924</v>
      </c>
      <c r="E61" s="4" t="str">
        <f>"3x3 Tage"</f>
        <v>3x3 Tage</v>
      </c>
      <c r="F61" s="17">
        <v>2170</v>
      </c>
      <c r="G61" s="4"/>
      <c r="H61" s="4" t="s">
        <v>11</v>
      </c>
    </row>
    <row r="62" spans="1:8" x14ac:dyDescent="0.2">
      <c r="A62" s="4" t="str">
        <f>"01.114/012 a/2025"</f>
        <v>01.114/012 a/2025</v>
      </c>
      <c r="B62" s="4" t="str">
        <f t="shared" si="3"/>
        <v>Führung I - Kommunikation und Führung</v>
      </c>
      <c r="C62" s="5">
        <v>45803</v>
      </c>
      <c r="D62" s="5">
        <v>45805</v>
      </c>
      <c r="E62" s="4"/>
      <c r="F62" s="17"/>
      <c r="G62" s="4" t="s">
        <v>18</v>
      </c>
      <c r="H62" s="4" t="s">
        <v>11</v>
      </c>
    </row>
    <row r="63" spans="1:8" x14ac:dyDescent="0.2">
      <c r="A63" s="4" t="str">
        <f>"01.114/012 b/2025"</f>
        <v>01.114/012 b/2025</v>
      </c>
      <c r="B63" s="4" t="str">
        <f t="shared" si="3"/>
        <v>Führung I - Kommunikation und Führung</v>
      </c>
      <c r="C63" s="5">
        <v>45859</v>
      </c>
      <c r="D63" s="5">
        <v>45861</v>
      </c>
      <c r="E63" s="4"/>
      <c r="F63" s="17"/>
      <c r="G63" s="4" t="s">
        <v>18</v>
      </c>
      <c r="H63" s="4" t="s">
        <v>11</v>
      </c>
    </row>
    <row r="64" spans="1:8" x14ac:dyDescent="0.2">
      <c r="A64" s="4" t="str">
        <f>"01.114/012 c/2025"</f>
        <v>01.114/012 c/2025</v>
      </c>
      <c r="B64" s="4" t="str">
        <f t="shared" si="3"/>
        <v>Führung I - Kommunikation und Führung</v>
      </c>
      <c r="C64" s="5">
        <v>45922</v>
      </c>
      <c r="D64" s="5">
        <v>45924</v>
      </c>
      <c r="E64" s="4"/>
      <c r="F64" s="17"/>
      <c r="G64" s="4" t="s">
        <v>18</v>
      </c>
      <c r="H64" s="4" t="s">
        <v>11</v>
      </c>
    </row>
    <row r="65" spans="1:8" x14ac:dyDescent="0.2">
      <c r="A65" s="4" t="str">
        <f>"01.114/013/2025"</f>
        <v>01.114/013/2025</v>
      </c>
      <c r="B65" s="4" t="str">
        <f t="shared" si="3"/>
        <v>Führung I - Kommunikation und Führung</v>
      </c>
      <c r="C65" s="5">
        <v>45812</v>
      </c>
      <c r="D65" s="5">
        <v>45910</v>
      </c>
      <c r="E65" s="4" t="str">
        <f>"3x3 Tage"</f>
        <v>3x3 Tage</v>
      </c>
      <c r="F65" s="17">
        <v>2170</v>
      </c>
      <c r="G65" s="4"/>
      <c r="H65" s="4" t="s">
        <v>11</v>
      </c>
    </row>
    <row r="66" spans="1:8" x14ac:dyDescent="0.2">
      <c r="A66" s="4" t="str">
        <f>"01.114/013 a/2025"</f>
        <v>01.114/013 a/2025</v>
      </c>
      <c r="B66" s="4" t="str">
        <f t="shared" si="3"/>
        <v>Führung I - Kommunikation und Führung</v>
      </c>
      <c r="C66" s="5">
        <v>45812</v>
      </c>
      <c r="D66" s="5">
        <v>45814</v>
      </c>
      <c r="E66" s="4"/>
      <c r="F66" s="17"/>
      <c r="G66" s="4" t="s">
        <v>18</v>
      </c>
      <c r="H66" s="4" t="s">
        <v>11</v>
      </c>
    </row>
    <row r="67" spans="1:8" x14ac:dyDescent="0.2">
      <c r="A67" s="4" t="str">
        <f>"01.114/013 b/2025"</f>
        <v>01.114/013 b/2025</v>
      </c>
      <c r="B67" s="4" t="str">
        <f t="shared" si="3"/>
        <v>Führung I - Kommunikation und Führung</v>
      </c>
      <c r="C67" s="5">
        <v>45852</v>
      </c>
      <c r="D67" s="5">
        <v>45854</v>
      </c>
      <c r="E67" s="4"/>
      <c r="F67" s="17"/>
      <c r="G67" s="4" t="s">
        <v>18</v>
      </c>
      <c r="H67" s="4" t="s">
        <v>11</v>
      </c>
    </row>
    <row r="68" spans="1:8" x14ac:dyDescent="0.2">
      <c r="A68" s="4" t="str">
        <f>"01.114/013 c/2025"</f>
        <v>01.114/013 c/2025</v>
      </c>
      <c r="B68" s="4" t="str">
        <f t="shared" si="3"/>
        <v>Führung I - Kommunikation und Führung</v>
      </c>
      <c r="C68" s="5">
        <v>45908</v>
      </c>
      <c r="D68" s="5">
        <v>45910</v>
      </c>
      <c r="E68" s="4"/>
      <c r="F68" s="17"/>
      <c r="G68" s="4" t="s">
        <v>18</v>
      </c>
      <c r="H68" s="4" t="s">
        <v>11</v>
      </c>
    </row>
    <row r="69" spans="1:8" x14ac:dyDescent="0.2">
      <c r="A69" s="4" t="str">
        <f>"01.114/014/2025"</f>
        <v>01.114/014/2025</v>
      </c>
      <c r="B69" s="4" t="str">
        <f t="shared" si="3"/>
        <v>Führung I - Kommunikation und Führung</v>
      </c>
      <c r="C69" s="5">
        <v>45819</v>
      </c>
      <c r="D69" s="5">
        <v>45994</v>
      </c>
      <c r="E69" s="4" t="str">
        <f>"3x3 Tage"</f>
        <v>3x3 Tage</v>
      </c>
      <c r="F69" s="17">
        <v>2170</v>
      </c>
      <c r="G69" s="4"/>
      <c r="H69" s="4" t="s">
        <v>11</v>
      </c>
    </row>
    <row r="70" spans="1:8" x14ac:dyDescent="0.2">
      <c r="A70" s="4" t="str">
        <f>"01.114/014 a/2025"</f>
        <v>01.114/014 a/2025</v>
      </c>
      <c r="B70" s="4" t="str">
        <f t="shared" si="3"/>
        <v>Führung I - Kommunikation und Führung</v>
      </c>
      <c r="C70" s="5">
        <v>45819</v>
      </c>
      <c r="D70" s="5">
        <v>45821</v>
      </c>
      <c r="E70" s="4"/>
      <c r="F70" s="17"/>
      <c r="G70" s="4" t="s">
        <v>18</v>
      </c>
      <c r="H70" s="4" t="s">
        <v>11</v>
      </c>
    </row>
    <row r="71" spans="1:8" x14ac:dyDescent="0.2">
      <c r="A71" s="4" t="str">
        <f>"01.114/014 b/2025"</f>
        <v>01.114/014 b/2025</v>
      </c>
      <c r="B71" s="4" t="str">
        <f t="shared" si="3"/>
        <v>Führung I - Kommunikation und Führung</v>
      </c>
      <c r="C71" s="5">
        <v>45924</v>
      </c>
      <c r="D71" s="5">
        <v>45926</v>
      </c>
      <c r="E71" s="4"/>
      <c r="F71" s="17"/>
      <c r="G71" s="4" t="s">
        <v>18</v>
      </c>
      <c r="H71" s="4" t="s">
        <v>11</v>
      </c>
    </row>
    <row r="72" spans="1:8" x14ac:dyDescent="0.2">
      <c r="A72" s="4" t="str">
        <f>"01.114/014 c/2025"</f>
        <v>01.114/014 c/2025</v>
      </c>
      <c r="B72" s="4" t="str">
        <f t="shared" si="3"/>
        <v>Führung I - Kommunikation und Führung</v>
      </c>
      <c r="C72" s="5">
        <v>45992</v>
      </c>
      <c r="D72" s="5">
        <v>45994</v>
      </c>
      <c r="E72" s="4"/>
      <c r="F72" s="17"/>
      <c r="G72" s="4" t="s">
        <v>18</v>
      </c>
      <c r="H72" s="4" t="s">
        <v>11</v>
      </c>
    </row>
    <row r="73" spans="1:8" x14ac:dyDescent="0.2">
      <c r="A73" s="4" t="str">
        <f>"01.114/015/2025"</f>
        <v>01.114/015/2025</v>
      </c>
      <c r="B73" s="4" t="str">
        <f t="shared" si="3"/>
        <v>Führung I - Kommunikation und Führung</v>
      </c>
      <c r="C73" s="5">
        <v>45831</v>
      </c>
      <c r="D73" s="5">
        <v>45931</v>
      </c>
      <c r="E73" s="4" t="str">
        <f>"3x3 Tage"</f>
        <v>3x3 Tage</v>
      </c>
      <c r="F73" s="17">
        <v>2170</v>
      </c>
      <c r="G73" s="4"/>
      <c r="H73" s="4" t="s">
        <v>11</v>
      </c>
    </row>
    <row r="74" spans="1:8" x14ac:dyDescent="0.2">
      <c r="A74" s="4" t="str">
        <f>"01.114/015 a/2025"</f>
        <v>01.114/015 a/2025</v>
      </c>
      <c r="B74" s="4" t="str">
        <f t="shared" si="3"/>
        <v>Führung I - Kommunikation und Führung</v>
      </c>
      <c r="C74" s="5">
        <v>45831</v>
      </c>
      <c r="D74" s="5">
        <v>45833</v>
      </c>
      <c r="E74" s="4"/>
      <c r="F74" s="17"/>
      <c r="G74" s="4" t="s">
        <v>18</v>
      </c>
      <c r="H74" s="4" t="s">
        <v>11</v>
      </c>
    </row>
    <row r="75" spans="1:8" x14ac:dyDescent="0.2">
      <c r="A75" s="4" t="str">
        <f>"01.114/015 b/2025"</f>
        <v>01.114/015 b/2025</v>
      </c>
      <c r="B75" s="4" t="str">
        <f t="shared" si="3"/>
        <v>Führung I - Kommunikation und Führung</v>
      </c>
      <c r="C75" s="5">
        <v>45908</v>
      </c>
      <c r="D75" s="5">
        <v>45910</v>
      </c>
      <c r="E75" s="4"/>
      <c r="F75" s="17"/>
      <c r="G75" s="4" t="s">
        <v>18</v>
      </c>
      <c r="H75" s="4" t="s">
        <v>11</v>
      </c>
    </row>
    <row r="76" spans="1:8" x14ac:dyDescent="0.2">
      <c r="A76" s="4" t="str">
        <f>"01.114/015 c/2025"</f>
        <v>01.114/015 c/2025</v>
      </c>
      <c r="B76" s="4" t="str">
        <f t="shared" si="3"/>
        <v>Führung I - Kommunikation und Führung</v>
      </c>
      <c r="C76" s="5">
        <v>45929</v>
      </c>
      <c r="D76" s="5">
        <v>45931</v>
      </c>
      <c r="E76" s="4"/>
      <c r="F76" s="17"/>
      <c r="G76" s="4" t="s">
        <v>18</v>
      </c>
      <c r="H76" s="4" t="s">
        <v>11</v>
      </c>
    </row>
    <row r="77" spans="1:8" x14ac:dyDescent="0.2">
      <c r="A77" s="4" t="str">
        <f>"01.114/016/2025"</f>
        <v>01.114/016/2025</v>
      </c>
      <c r="B77" s="4" t="str">
        <f t="shared" si="3"/>
        <v>Führung I - Kommunikation und Führung</v>
      </c>
      <c r="C77" s="5">
        <v>45838</v>
      </c>
      <c r="D77" s="5">
        <v>45954</v>
      </c>
      <c r="E77" s="4" t="str">
        <f>"3x3 Tage"</f>
        <v>3x3 Tage</v>
      </c>
      <c r="F77" s="17">
        <v>2170</v>
      </c>
      <c r="G77" s="4"/>
      <c r="H77" s="4" t="s">
        <v>11</v>
      </c>
    </row>
    <row r="78" spans="1:8" x14ac:dyDescent="0.2">
      <c r="A78" s="4" t="str">
        <f>"01.114/016 a/2025"</f>
        <v>01.114/016 a/2025</v>
      </c>
      <c r="B78" s="4" t="str">
        <f t="shared" si="3"/>
        <v>Führung I - Kommunikation und Führung</v>
      </c>
      <c r="C78" s="5">
        <v>45838</v>
      </c>
      <c r="D78" s="5">
        <v>45840</v>
      </c>
      <c r="E78" s="4"/>
      <c r="F78" s="17"/>
      <c r="G78" s="4" t="s">
        <v>18</v>
      </c>
      <c r="H78" s="4" t="s">
        <v>11</v>
      </c>
    </row>
    <row r="79" spans="1:8" x14ac:dyDescent="0.2">
      <c r="A79" s="4" t="str">
        <f>"01.114/016 b/2025"</f>
        <v>01.114/016 b/2025</v>
      </c>
      <c r="B79" s="4" t="str">
        <f t="shared" si="3"/>
        <v>Führung I - Kommunikation und Führung</v>
      </c>
      <c r="C79" s="5">
        <v>45922</v>
      </c>
      <c r="D79" s="5">
        <v>45924</v>
      </c>
      <c r="E79" s="4"/>
      <c r="F79" s="17"/>
      <c r="G79" s="4" t="s">
        <v>18</v>
      </c>
      <c r="H79" s="4" t="s">
        <v>11</v>
      </c>
    </row>
    <row r="80" spans="1:8" x14ac:dyDescent="0.2">
      <c r="A80" s="4" t="str">
        <f>"01.114/016 c/2025"</f>
        <v>01.114/016 c/2025</v>
      </c>
      <c r="B80" s="4" t="str">
        <f t="shared" si="3"/>
        <v>Führung I - Kommunikation und Führung</v>
      </c>
      <c r="C80" s="5">
        <v>45952</v>
      </c>
      <c r="D80" s="5">
        <v>45954</v>
      </c>
      <c r="E80" s="4"/>
      <c r="F80" s="17"/>
      <c r="G80" s="4" t="s">
        <v>18</v>
      </c>
      <c r="H80" s="4" t="s">
        <v>11</v>
      </c>
    </row>
    <row r="81" spans="1:8" x14ac:dyDescent="0.2">
      <c r="A81" s="4" t="str">
        <f>"01.114/017/2025"</f>
        <v>01.114/017/2025</v>
      </c>
      <c r="B81" s="4" t="str">
        <f>"Führung I - Kommunikation und Führung - Blended Learning"</f>
        <v>Führung I - Kommunikation und Führung - Blended Learning</v>
      </c>
      <c r="C81" s="5">
        <v>45861</v>
      </c>
      <c r="D81" s="5">
        <v>45973</v>
      </c>
      <c r="E81" s="4" t="str">
        <f>"3x3 Tage"</f>
        <v>3x3 Tage</v>
      </c>
      <c r="F81" s="17">
        <v>2170</v>
      </c>
      <c r="G81" s="4"/>
      <c r="H81" s="4" t="s">
        <v>11</v>
      </c>
    </row>
    <row r="82" spans="1:8" x14ac:dyDescent="0.2">
      <c r="A82" s="4" t="str">
        <f>"01.114/017 a/2025"</f>
        <v>01.114/017 a/2025</v>
      </c>
      <c r="B82" s="4" t="str">
        <f>"Führung I - Kommunikation und Führung"</f>
        <v>Führung I - Kommunikation und Führung</v>
      </c>
      <c r="C82" s="5">
        <v>45861</v>
      </c>
      <c r="D82" s="5">
        <v>45863</v>
      </c>
      <c r="E82" s="4"/>
      <c r="F82" s="17"/>
      <c r="G82" s="4" t="s">
        <v>18</v>
      </c>
      <c r="H82" s="4" t="s">
        <v>11</v>
      </c>
    </row>
    <row r="83" spans="1:8" x14ac:dyDescent="0.2">
      <c r="A83" s="4" t="str">
        <f>"01.114/017 b/2025"</f>
        <v>01.114/017 b/2025</v>
      </c>
      <c r="B83" s="4" t="str">
        <f>"Führung I - Kommunikation und Führung - Online"</f>
        <v>Führung I - Kommunikation und Führung - Online</v>
      </c>
      <c r="C83" s="5">
        <v>45922</v>
      </c>
      <c r="D83" s="5">
        <v>45924</v>
      </c>
      <c r="E83" s="4"/>
      <c r="F83" s="17"/>
      <c r="G83" s="4" t="s">
        <v>18</v>
      </c>
      <c r="H83" s="4" t="s">
        <v>11</v>
      </c>
    </row>
    <row r="84" spans="1:8" x14ac:dyDescent="0.2">
      <c r="A84" s="4" t="str">
        <f>"01.114/017 c/2025"</f>
        <v>01.114/017 c/2025</v>
      </c>
      <c r="B84" s="4" t="str">
        <f>"Führung I - Kommunikation und Führung - Online"</f>
        <v>Führung I - Kommunikation und Führung - Online</v>
      </c>
      <c r="C84" s="5">
        <v>45971</v>
      </c>
      <c r="D84" s="5">
        <v>45973</v>
      </c>
      <c r="E84" s="4"/>
      <c r="F84" s="17"/>
      <c r="G84" s="4" t="s">
        <v>18</v>
      </c>
      <c r="H84" s="4" t="s">
        <v>11</v>
      </c>
    </row>
    <row r="85" spans="1:8" x14ac:dyDescent="0.2">
      <c r="A85" s="4" t="str">
        <f>"01.114/018/2025"</f>
        <v>01.114/018/2025</v>
      </c>
      <c r="B85" s="4" t="str">
        <f t="shared" ref="B85:B108" si="4">"Führung I - Kommunikation und Führung"</f>
        <v>Führung I - Kommunikation und Führung</v>
      </c>
      <c r="C85" s="5">
        <v>45901</v>
      </c>
      <c r="D85" s="5">
        <v>45994</v>
      </c>
      <c r="E85" s="4" t="str">
        <f>"3x3 Tage"</f>
        <v>3x3 Tage</v>
      </c>
      <c r="F85" s="17">
        <v>2170</v>
      </c>
      <c r="G85" s="4"/>
      <c r="H85" s="4" t="s">
        <v>11</v>
      </c>
    </row>
    <row r="86" spans="1:8" x14ac:dyDescent="0.2">
      <c r="A86" s="4" t="str">
        <f>"01.114/018 a/2025"</f>
        <v>01.114/018 a/2025</v>
      </c>
      <c r="B86" s="4" t="str">
        <f t="shared" si="4"/>
        <v>Führung I - Kommunikation und Führung</v>
      </c>
      <c r="C86" s="5">
        <v>45901</v>
      </c>
      <c r="D86" s="5">
        <v>45903</v>
      </c>
      <c r="E86" s="4"/>
      <c r="F86" s="17"/>
      <c r="G86" s="4" t="s">
        <v>18</v>
      </c>
      <c r="H86" s="4" t="s">
        <v>11</v>
      </c>
    </row>
    <row r="87" spans="1:8" x14ac:dyDescent="0.2">
      <c r="A87" s="4" t="str">
        <f>"01.114/018 b/2025"</f>
        <v>01.114/018 b/2025</v>
      </c>
      <c r="B87" s="4" t="str">
        <f t="shared" si="4"/>
        <v>Führung I - Kommunikation und Führung</v>
      </c>
      <c r="C87" s="5">
        <v>45936</v>
      </c>
      <c r="D87" s="5">
        <v>45938</v>
      </c>
      <c r="E87" s="4"/>
      <c r="F87" s="17"/>
      <c r="G87" s="4" t="s">
        <v>18</v>
      </c>
      <c r="H87" s="4" t="s">
        <v>11</v>
      </c>
    </row>
    <row r="88" spans="1:8" x14ac:dyDescent="0.2">
      <c r="A88" s="4" t="str">
        <f>"01.114/018 c/2025"</f>
        <v>01.114/018 c/2025</v>
      </c>
      <c r="B88" s="4" t="str">
        <f t="shared" si="4"/>
        <v>Führung I - Kommunikation und Führung</v>
      </c>
      <c r="C88" s="5">
        <v>45992</v>
      </c>
      <c r="D88" s="5">
        <v>45994</v>
      </c>
      <c r="E88" s="4"/>
      <c r="F88" s="17"/>
      <c r="G88" s="4" t="s">
        <v>18</v>
      </c>
      <c r="H88" s="4" t="s">
        <v>11</v>
      </c>
    </row>
    <row r="89" spans="1:8" x14ac:dyDescent="0.2">
      <c r="A89" s="4" t="str">
        <f>"01.114/019/2025"</f>
        <v>01.114/019/2025</v>
      </c>
      <c r="B89" s="4" t="str">
        <f t="shared" si="4"/>
        <v>Führung I - Kommunikation und Führung</v>
      </c>
      <c r="C89" s="5">
        <v>45910</v>
      </c>
      <c r="D89" s="5">
        <v>45987</v>
      </c>
      <c r="E89" s="4" t="str">
        <f>"3x3 Tage"</f>
        <v>3x3 Tage</v>
      </c>
      <c r="F89" s="17">
        <v>2170</v>
      </c>
      <c r="G89" s="4"/>
      <c r="H89" s="4" t="s">
        <v>11</v>
      </c>
    </row>
    <row r="90" spans="1:8" x14ac:dyDescent="0.2">
      <c r="A90" s="4" t="str">
        <f>"01.114/019 a/2025"</f>
        <v>01.114/019 a/2025</v>
      </c>
      <c r="B90" s="4" t="str">
        <f t="shared" si="4"/>
        <v>Führung I - Kommunikation und Führung</v>
      </c>
      <c r="C90" s="5">
        <v>45910</v>
      </c>
      <c r="D90" s="5">
        <v>45912</v>
      </c>
      <c r="E90" s="4"/>
      <c r="F90" s="17"/>
      <c r="G90" s="4" t="s">
        <v>18</v>
      </c>
      <c r="H90" s="4" t="s">
        <v>11</v>
      </c>
    </row>
    <row r="91" spans="1:8" x14ac:dyDescent="0.2">
      <c r="A91" s="4" t="str">
        <f>"01.114/019 b/2025"</f>
        <v>01.114/019 b/2025</v>
      </c>
      <c r="B91" s="4" t="str">
        <f t="shared" si="4"/>
        <v>Führung I - Kommunikation und Führung</v>
      </c>
      <c r="C91" s="5">
        <v>45943</v>
      </c>
      <c r="D91" s="5">
        <v>45945</v>
      </c>
      <c r="E91" s="4"/>
      <c r="F91" s="17"/>
      <c r="G91" s="4" t="s">
        <v>18</v>
      </c>
      <c r="H91" s="4" t="s">
        <v>11</v>
      </c>
    </row>
    <row r="92" spans="1:8" x14ac:dyDescent="0.2">
      <c r="A92" s="4" t="str">
        <f>"01.114/019 c/2025"</f>
        <v>01.114/019 c/2025</v>
      </c>
      <c r="B92" s="4" t="str">
        <f t="shared" si="4"/>
        <v>Führung I - Kommunikation und Führung</v>
      </c>
      <c r="C92" s="5">
        <v>45985</v>
      </c>
      <c r="D92" s="5">
        <v>45987</v>
      </c>
      <c r="E92" s="4"/>
      <c r="F92" s="17"/>
      <c r="G92" s="4" t="s">
        <v>18</v>
      </c>
      <c r="H92" s="4" t="s">
        <v>11</v>
      </c>
    </row>
    <row r="93" spans="1:8" x14ac:dyDescent="0.2">
      <c r="A93" s="4" t="str">
        <f>"01.114/020/2025"</f>
        <v>01.114/020/2025</v>
      </c>
      <c r="B93" s="4" t="str">
        <f t="shared" si="4"/>
        <v>Führung I - Kommunikation und Führung</v>
      </c>
      <c r="C93" s="5">
        <v>45917</v>
      </c>
      <c r="D93" s="5">
        <v>45996</v>
      </c>
      <c r="E93" s="4" t="str">
        <f>"3x3 Tage"</f>
        <v>3x3 Tage</v>
      </c>
      <c r="F93" s="17">
        <v>2170</v>
      </c>
      <c r="G93" s="4"/>
      <c r="H93" s="4" t="s">
        <v>11</v>
      </c>
    </row>
    <row r="94" spans="1:8" x14ac:dyDescent="0.2">
      <c r="A94" s="4" t="str">
        <f>"01.114/020 a/2025"</f>
        <v>01.114/020 a/2025</v>
      </c>
      <c r="B94" s="4" t="str">
        <f t="shared" si="4"/>
        <v>Führung I - Kommunikation und Führung</v>
      </c>
      <c r="C94" s="5">
        <v>45917</v>
      </c>
      <c r="D94" s="5">
        <v>45919</v>
      </c>
      <c r="E94" s="4"/>
      <c r="F94" s="17"/>
      <c r="G94" s="4" t="s">
        <v>18</v>
      </c>
      <c r="H94" s="4" t="s">
        <v>11</v>
      </c>
    </row>
    <row r="95" spans="1:8" x14ac:dyDescent="0.2">
      <c r="A95" s="4" t="str">
        <f>"01.114/020 b/2025"</f>
        <v>01.114/020 b/2025</v>
      </c>
      <c r="B95" s="4" t="str">
        <f t="shared" si="4"/>
        <v>Führung I - Kommunikation und Führung</v>
      </c>
      <c r="C95" s="5">
        <v>45945</v>
      </c>
      <c r="D95" s="5">
        <v>45947</v>
      </c>
      <c r="E95" s="4"/>
      <c r="F95" s="17"/>
      <c r="G95" s="4" t="s">
        <v>18</v>
      </c>
      <c r="H95" s="4" t="s">
        <v>11</v>
      </c>
    </row>
    <row r="96" spans="1:8" x14ac:dyDescent="0.2">
      <c r="A96" s="4" t="str">
        <f>"01.114/020 c/2025"</f>
        <v>01.114/020 c/2025</v>
      </c>
      <c r="B96" s="4" t="str">
        <f t="shared" si="4"/>
        <v>Führung I - Kommunikation und Führung</v>
      </c>
      <c r="C96" s="5">
        <v>45994</v>
      </c>
      <c r="D96" s="5">
        <v>45996</v>
      </c>
      <c r="E96" s="4"/>
      <c r="F96" s="17"/>
      <c r="G96" s="4" t="s">
        <v>18</v>
      </c>
      <c r="H96" s="4" t="s">
        <v>11</v>
      </c>
    </row>
    <row r="97" spans="1:8" x14ac:dyDescent="0.2">
      <c r="A97" s="4" t="str">
        <f>"01.114/021/2025"</f>
        <v>01.114/021/2025</v>
      </c>
      <c r="B97" s="4" t="str">
        <f t="shared" si="4"/>
        <v>Führung I - Kommunikation und Führung</v>
      </c>
      <c r="C97" s="5">
        <v>45943</v>
      </c>
      <c r="D97" s="5">
        <v>46003</v>
      </c>
      <c r="E97" s="4" t="str">
        <f>"3x3 Tage"</f>
        <v>3x3 Tage</v>
      </c>
      <c r="F97" s="17">
        <v>2170</v>
      </c>
      <c r="G97" s="4"/>
      <c r="H97" s="4" t="s">
        <v>11</v>
      </c>
    </row>
    <row r="98" spans="1:8" x14ac:dyDescent="0.2">
      <c r="A98" s="4" t="str">
        <f>"01.114/021 a/2025"</f>
        <v>01.114/021 a/2025</v>
      </c>
      <c r="B98" s="4" t="str">
        <f t="shared" si="4"/>
        <v>Führung I - Kommunikation und Führung</v>
      </c>
      <c r="C98" s="5">
        <v>45943</v>
      </c>
      <c r="D98" s="5">
        <v>45945</v>
      </c>
      <c r="E98" s="4"/>
      <c r="F98" s="17"/>
      <c r="G98" s="4" t="s">
        <v>18</v>
      </c>
      <c r="H98" s="4" t="s">
        <v>11</v>
      </c>
    </row>
    <row r="99" spans="1:8" x14ac:dyDescent="0.2">
      <c r="A99" s="4" t="str">
        <f>"01.114/021 b/2025"</f>
        <v>01.114/021 b/2025</v>
      </c>
      <c r="B99" s="4" t="str">
        <f t="shared" si="4"/>
        <v>Führung I - Kommunikation und Führung</v>
      </c>
      <c r="C99" s="5">
        <v>45957</v>
      </c>
      <c r="D99" s="5">
        <v>45959</v>
      </c>
      <c r="E99" s="4"/>
      <c r="F99" s="17"/>
      <c r="G99" s="4" t="s">
        <v>18</v>
      </c>
      <c r="H99" s="4" t="s">
        <v>11</v>
      </c>
    </row>
    <row r="100" spans="1:8" x14ac:dyDescent="0.2">
      <c r="A100" s="4" t="str">
        <f>"01.114/021 c/2025"</f>
        <v>01.114/021 c/2025</v>
      </c>
      <c r="B100" s="4" t="str">
        <f t="shared" si="4"/>
        <v>Führung I - Kommunikation und Führung</v>
      </c>
      <c r="C100" s="5">
        <v>46001</v>
      </c>
      <c r="D100" s="5">
        <v>46003</v>
      </c>
      <c r="E100" s="4"/>
      <c r="F100" s="17"/>
      <c r="G100" s="4" t="s">
        <v>18</v>
      </c>
      <c r="H100" s="4" t="s">
        <v>11</v>
      </c>
    </row>
    <row r="101" spans="1:8" x14ac:dyDescent="0.2">
      <c r="A101" s="4" t="str">
        <f>"01.114/022/2025"</f>
        <v>01.114/022/2025</v>
      </c>
      <c r="B101" s="4" t="str">
        <f t="shared" si="4"/>
        <v>Führung I - Kommunikation und Führung</v>
      </c>
      <c r="C101" s="5">
        <v>45950</v>
      </c>
      <c r="D101" s="5">
        <v>46008</v>
      </c>
      <c r="E101" s="4" t="str">
        <f>"3x3 Tage"</f>
        <v>3x3 Tage</v>
      </c>
      <c r="F101" s="17">
        <v>2170</v>
      </c>
      <c r="G101" s="4"/>
      <c r="H101" s="4" t="s">
        <v>11</v>
      </c>
    </row>
    <row r="102" spans="1:8" x14ac:dyDescent="0.2">
      <c r="A102" s="4" t="str">
        <f>"01.114/022 a/2025"</f>
        <v>01.114/022 a/2025</v>
      </c>
      <c r="B102" s="4" t="str">
        <f t="shared" si="4"/>
        <v>Führung I - Kommunikation und Führung</v>
      </c>
      <c r="C102" s="5">
        <v>45950</v>
      </c>
      <c r="D102" s="5">
        <v>45952</v>
      </c>
      <c r="E102" s="4"/>
      <c r="F102" s="17"/>
      <c r="G102" s="4" t="s">
        <v>18</v>
      </c>
      <c r="H102" s="4" t="s">
        <v>11</v>
      </c>
    </row>
    <row r="103" spans="1:8" x14ac:dyDescent="0.2">
      <c r="A103" s="4" t="str">
        <f>"01.114/022 b/2025"</f>
        <v>01.114/022 b/2025</v>
      </c>
      <c r="B103" s="4" t="str">
        <f t="shared" si="4"/>
        <v>Führung I - Kommunikation und Führung</v>
      </c>
      <c r="C103" s="5">
        <v>45971</v>
      </c>
      <c r="D103" s="5">
        <v>45973</v>
      </c>
      <c r="E103" s="4"/>
      <c r="F103" s="17"/>
      <c r="G103" s="4" t="s">
        <v>18</v>
      </c>
      <c r="H103" s="4" t="s">
        <v>11</v>
      </c>
    </row>
    <row r="104" spans="1:8" x14ac:dyDescent="0.2">
      <c r="A104" s="4" t="str">
        <f>"01.114/022 c/2025"</f>
        <v>01.114/022 c/2025</v>
      </c>
      <c r="B104" s="4" t="str">
        <f t="shared" si="4"/>
        <v>Führung I - Kommunikation und Führung</v>
      </c>
      <c r="C104" s="5">
        <v>46006</v>
      </c>
      <c r="D104" s="5">
        <v>46008</v>
      </c>
      <c r="E104" s="4"/>
      <c r="F104" s="17"/>
      <c r="G104" s="4" t="s">
        <v>18</v>
      </c>
      <c r="H104" s="4" t="s">
        <v>11</v>
      </c>
    </row>
    <row r="105" spans="1:8" x14ac:dyDescent="0.2">
      <c r="A105" s="4" t="str">
        <f>"01.114/023/2025"</f>
        <v>01.114/023/2025</v>
      </c>
      <c r="B105" s="4" t="str">
        <f t="shared" si="4"/>
        <v>Führung I - Kommunikation und Führung</v>
      </c>
      <c r="C105" s="5">
        <v>46006</v>
      </c>
      <c r="D105" s="5">
        <v>46092</v>
      </c>
      <c r="E105" s="4" t="str">
        <f>"3x3 Tage"</f>
        <v>3x3 Tage</v>
      </c>
      <c r="F105" s="17">
        <v>2170</v>
      </c>
      <c r="G105" s="4"/>
      <c r="H105" s="4" t="s">
        <v>11</v>
      </c>
    </row>
    <row r="106" spans="1:8" x14ac:dyDescent="0.2">
      <c r="A106" s="4" t="str">
        <f>"01.114/023 a/2025"</f>
        <v>01.114/023 a/2025</v>
      </c>
      <c r="B106" s="4" t="str">
        <f t="shared" si="4"/>
        <v>Führung I - Kommunikation und Führung</v>
      </c>
      <c r="C106" s="5">
        <v>46006</v>
      </c>
      <c r="D106" s="5">
        <v>46008</v>
      </c>
      <c r="E106" s="4"/>
      <c r="F106" s="17"/>
      <c r="G106" s="4" t="s">
        <v>18</v>
      </c>
      <c r="H106" s="4" t="s">
        <v>11</v>
      </c>
    </row>
    <row r="107" spans="1:8" x14ac:dyDescent="0.2">
      <c r="A107" s="4" t="str">
        <f>"01.114/023 b/2025"</f>
        <v>01.114/023 b/2025</v>
      </c>
      <c r="B107" s="4" t="str">
        <f t="shared" si="4"/>
        <v>Führung I - Kommunikation und Führung</v>
      </c>
      <c r="C107" s="5">
        <v>46041</v>
      </c>
      <c r="D107" s="5">
        <v>46043</v>
      </c>
      <c r="E107" s="4"/>
      <c r="F107" s="17"/>
      <c r="G107" s="4" t="s">
        <v>18</v>
      </c>
      <c r="H107" s="4" t="s">
        <v>11</v>
      </c>
    </row>
    <row r="108" spans="1:8" x14ac:dyDescent="0.2">
      <c r="A108" s="4" t="str">
        <f>"01.114/023 c/2025"</f>
        <v>01.114/023 c/2025</v>
      </c>
      <c r="B108" s="4" t="str">
        <f t="shared" si="4"/>
        <v>Führung I - Kommunikation und Führung</v>
      </c>
      <c r="C108" s="5">
        <v>46090</v>
      </c>
      <c r="D108" s="5">
        <v>46092</v>
      </c>
      <c r="E108" s="4"/>
      <c r="F108" s="17"/>
      <c r="G108" s="4" t="s">
        <v>18</v>
      </c>
      <c r="H108" s="4" t="s">
        <v>11</v>
      </c>
    </row>
    <row r="109" spans="1:8" x14ac:dyDescent="0.2">
      <c r="A109" s="4" t="str">
        <f>"01.120/001/2025"</f>
        <v>01.120/001/2025</v>
      </c>
      <c r="B109" s="4" t="str">
        <f t="shared" ref="B109:B141" si="5">"Führung II - Führung in der Hierarchie"</f>
        <v>Führung II - Führung in der Hierarchie</v>
      </c>
      <c r="C109" s="5">
        <v>45663</v>
      </c>
      <c r="D109" s="5">
        <v>45722</v>
      </c>
      <c r="E109" s="4" t="str">
        <f>"2x3 Tage"</f>
        <v>2x3 Tage</v>
      </c>
      <c r="F109" s="17">
        <v>1510</v>
      </c>
      <c r="G109" s="4"/>
      <c r="H109" s="4" t="s">
        <v>11</v>
      </c>
    </row>
    <row r="110" spans="1:8" x14ac:dyDescent="0.2">
      <c r="A110" s="4" t="str">
        <f>"01.120/001 a/2025"</f>
        <v>01.120/001 a/2025</v>
      </c>
      <c r="B110" s="4" t="str">
        <f t="shared" si="5"/>
        <v>Führung II - Führung in der Hierarchie</v>
      </c>
      <c r="C110" s="5">
        <v>45663</v>
      </c>
      <c r="D110" s="5">
        <v>45665</v>
      </c>
      <c r="E110" s="4"/>
      <c r="F110" s="17"/>
      <c r="G110" s="4" t="s">
        <v>18</v>
      </c>
      <c r="H110" s="4" t="s">
        <v>11</v>
      </c>
    </row>
    <row r="111" spans="1:8" x14ac:dyDescent="0.2">
      <c r="A111" s="4" t="str">
        <f>"01.120/001 b/2025"</f>
        <v>01.120/001 b/2025</v>
      </c>
      <c r="B111" s="4" t="str">
        <f t="shared" si="5"/>
        <v>Führung II - Führung in der Hierarchie</v>
      </c>
      <c r="C111" s="5">
        <v>45720</v>
      </c>
      <c r="D111" s="5">
        <v>45722</v>
      </c>
      <c r="E111" s="4"/>
      <c r="F111" s="17"/>
      <c r="G111" s="4" t="s">
        <v>18</v>
      </c>
      <c r="H111" s="4" t="s">
        <v>11</v>
      </c>
    </row>
    <row r="112" spans="1:8" x14ac:dyDescent="0.2">
      <c r="A112" s="4" t="str">
        <f>"01.120/002/2025"</f>
        <v>01.120/002/2025</v>
      </c>
      <c r="B112" s="4" t="str">
        <f t="shared" si="5"/>
        <v>Führung II - Führung in der Hierarchie</v>
      </c>
      <c r="C112" s="5">
        <v>45728</v>
      </c>
      <c r="D112" s="5">
        <v>45791</v>
      </c>
      <c r="E112" s="4" t="str">
        <f>"2x3 Tage"</f>
        <v>2x3 Tage</v>
      </c>
      <c r="F112" s="17">
        <v>1510</v>
      </c>
      <c r="G112" s="4"/>
      <c r="H112" s="4" t="s">
        <v>11</v>
      </c>
    </row>
    <row r="113" spans="1:8" x14ac:dyDescent="0.2">
      <c r="A113" s="4" t="str">
        <f>"01.120/002 a/2025"</f>
        <v>01.120/002 a/2025</v>
      </c>
      <c r="B113" s="4" t="str">
        <f t="shared" si="5"/>
        <v>Führung II - Führung in der Hierarchie</v>
      </c>
      <c r="C113" s="5">
        <v>45728</v>
      </c>
      <c r="D113" s="5">
        <v>45730</v>
      </c>
      <c r="E113" s="4"/>
      <c r="F113" s="17"/>
      <c r="G113" s="4" t="s">
        <v>18</v>
      </c>
      <c r="H113" s="4" t="s">
        <v>11</v>
      </c>
    </row>
    <row r="114" spans="1:8" x14ac:dyDescent="0.2">
      <c r="A114" s="4" t="str">
        <f>"01.120/002 b/2025"</f>
        <v>01.120/002 b/2025</v>
      </c>
      <c r="B114" s="4" t="str">
        <f t="shared" si="5"/>
        <v>Führung II - Führung in der Hierarchie</v>
      </c>
      <c r="C114" s="5">
        <v>45789</v>
      </c>
      <c r="D114" s="5">
        <v>45791</v>
      </c>
      <c r="E114" s="4"/>
      <c r="F114" s="17"/>
      <c r="G114" s="4" t="s">
        <v>18</v>
      </c>
      <c r="H114" s="4" t="s">
        <v>11</v>
      </c>
    </row>
    <row r="115" spans="1:8" x14ac:dyDescent="0.2">
      <c r="A115" s="4" t="str">
        <f>"01.120/003/2025"</f>
        <v>01.120/003/2025</v>
      </c>
      <c r="B115" s="4" t="str">
        <f t="shared" si="5"/>
        <v>Führung II - Führung in der Hierarchie</v>
      </c>
      <c r="C115" s="5">
        <v>45756</v>
      </c>
      <c r="D115" s="5">
        <v>45800</v>
      </c>
      <c r="E115" s="4" t="str">
        <f>"2x3 Tage"</f>
        <v>2x3 Tage</v>
      </c>
      <c r="F115" s="17">
        <v>1510</v>
      </c>
      <c r="G115" s="4"/>
      <c r="H115" s="4" t="s">
        <v>11</v>
      </c>
    </row>
    <row r="116" spans="1:8" x14ac:dyDescent="0.2">
      <c r="A116" s="4" t="str">
        <f>"01.120/003 a/2025"</f>
        <v>01.120/003 a/2025</v>
      </c>
      <c r="B116" s="4" t="str">
        <f t="shared" si="5"/>
        <v>Führung II - Führung in der Hierarchie</v>
      </c>
      <c r="C116" s="5">
        <v>45756</v>
      </c>
      <c r="D116" s="5">
        <v>45758</v>
      </c>
      <c r="E116" s="4"/>
      <c r="F116" s="17"/>
      <c r="G116" s="4" t="s">
        <v>18</v>
      </c>
      <c r="H116" s="4" t="s">
        <v>11</v>
      </c>
    </row>
    <row r="117" spans="1:8" x14ac:dyDescent="0.2">
      <c r="A117" s="4" t="str">
        <f>"01.120/003 b/2025"</f>
        <v>01.120/003 b/2025</v>
      </c>
      <c r="B117" s="4" t="str">
        <f t="shared" si="5"/>
        <v>Führung II - Führung in der Hierarchie</v>
      </c>
      <c r="C117" s="5">
        <v>45798</v>
      </c>
      <c r="D117" s="5">
        <v>45800</v>
      </c>
      <c r="E117" s="4"/>
      <c r="F117" s="17"/>
      <c r="G117" s="4" t="s">
        <v>18</v>
      </c>
      <c r="H117" s="4" t="s">
        <v>11</v>
      </c>
    </row>
    <row r="118" spans="1:8" x14ac:dyDescent="0.2">
      <c r="A118" s="4" t="str">
        <f>"01.120/004/2025"</f>
        <v>01.120/004/2025</v>
      </c>
      <c r="B118" s="4" t="str">
        <f t="shared" si="5"/>
        <v>Führung II - Führung in der Hierarchie</v>
      </c>
      <c r="C118" s="5">
        <v>45761</v>
      </c>
      <c r="D118" s="5">
        <v>45805</v>
      </c>
      <c r="E118" s="4" t="str">
        <f>"2x3 Tage"</f>
        <v>2x3 Tage</v>
      </c>
      <c r="F118" s="17">
        <v>1510</v>
      </c>
      <c r="G118" s="4"/>
      <c r="H118" s="4" t="s">
        <v>11</v>
      </c>
    </row>
    <row r="119" spans="1:8" x14ac:dyDescent="0.2">
      <c r="A119" s="4" t="str">
        <f>"01.120/004 a/2025"</f>
        <v>01.120/004 a/2025</v>
      </c>
      <c r="B119" s="4" t="str">
        <f t="shared" si="5"/>
        <v>Führung II - Führung in der Hierarchie</v>
      </c>
      <c r="C119" s="5">
        <v>45761</v>
      </c>
      <c r="D119" s="5">
        <v>45763</v>
      </c>
      <c r="E119" s="4"/>
      <c r="F119" s="17"/>
      <c r="G119" s="4" t="s">
        <v>18</v>
      </c>
      <c r="H119" s="4" t="s">
        <v>11</v>
      </c>
    </row>
    <row r="120" spans="1:8" x14ac:dyDescent="0.2">
      <c r="A120" s="4" t="str">
        <f>"01.120/004 b/2025"</f>
        <v>01.120/004 b/2025</v>
      </c>
      <c r="B120" s="4" t="str">
        <f t="shared" si="5"/>
        <v>Führung II - Führung in der Hierarchie</v>
      </c>
      <c r="C120" s="5">
        <v>45803</v>
      </c>
      <c r="D120" s="5">
        <v>45805</v>
      </c>
      <c r="E120" s="4"/>
      <c r="F120" s="17"/>
      <c r="G120" s="4" t="s">
        <v>18</v>
      </c>
      <c r="H120" s="4" t="s">
        <v>11</v>
      </c>
    </row>
    <row r="121" spans="1:8" x14ac:dyDescent="0.2">
      <c r="A121" s="4" t="str">
        <f>"01.120/005/2025"</f>
        <v>01.120/005/2025</v>
      </c>
      <c r="B121" s="4" t="str">
        <f t="shared" si="5"/>
        <v>Führung II - Führung in der Hierarchie</v>
      </c>
      <c r="C121" s="5">
        <v>45782</v>
      </c>
      <c r="D121" s="5">
        <v>45812</v>
      </c>
      <c r="E121" s="4" t="str">
        <f>"2x3 Tage"</f>
        <v>2x3 Tage</v>
      </c>
      <c r="F121" s="17">
        <v>1510</v>
      </c>
      <c r="G121" s="4"/>
      <c r="H121" s="4" t="s">
        <v>11</v>
      </c>
    </row>
    <row r="122" spans="1:8" x14ac:dyDescent="0.2">
      <c r="A122" s="4" t="str">
        <f>"01.120/005 a/2025"</f>
        <v>01.120/005 a/2025</v>
      </c>
      <c r="B122" s="4" t="str">
        <f t="shared" si="5"/>
        <v>Führung II - Führung in der Hierarchie</v>
      </c>
      <c r="C122" s="5">
        <v>45782</v>
      </c>
      <c r="D122" s="5">
        <v>45784</v>
      </c>
      <c r="E122" s="4"/>
      <c r="F122" s="17"/>
      <c r="G122" s="4" t="s">
        <v>18</v>
      </c>
      <c r="H122" s="4" t="s">
        <v>11</v>
      </c>
    </row>
    <row r="123" spans="1:8" x14ac:dyDescent="0.2">
      <c r="A123" s="4" t="str">
        <f>"01.120/005 b/2025"</f>
        <v>01.120/005 b/2025</v>
      </c>
      <c r="B123" s="4" t="str">
        <f t="shared" si="5"/>
        <v>Führung II - Führung in der Hierarchie</v>
      </c>
      <c r="C123" s="5">
        <v>45810</v>
      </c>
      <c r="D123" s="5">
        <v>45812</v>
      </c>
      <c r="E123" s="4"/>
      <c r="F123" s="17"/>
      <c r="G123" s="4" t="s">
        <v>18</v>
      </c>
      <c r="H123" s="4" t="s">
        <v>11</v>
      </c>
    </row>
    <row r="124" spans="1:8" x14ac:dyDescent="0.2">
      <c r="A124" s="4" t="str">
        <f>"01.120/006/2025"</f>
        <v>01.120/006/2025</v>
      </c>
      <c r="B124" s="4" t="str">
        <f t="shared" si="5"/>
        <v>Führung II - Führung in der Hierarchie</v>
      </c>
      <c r="C124" s="5">
        <v>45831</v>
      </c>
      <c r="D124" s="5">
        <v>45861</v>
      </c>
      <c r="E124" s="4" t="str">
        <f>"2x3 Tage"</f>
        <v>2x3 Tage</v>
      </c>
      <c r="F124" s="17">
        <v>1510</v>
      </c>
      <c r="G124" s="4"/>
      <c r="H124" s="4" t="s">
        <v>11</v>
      </c>
    </row>
    <row r="125" spans="1:8" x14ac:dyDescent="0.2">
      <c r="A125" s="4" t="str">
        <f>"01.120/006 a/2025"</f>
        <v>01.120/006 a/2025</v>
      </c>
      <c r="B125" s="4" t="str">
        <f t="shared" si="5"/>
        <v>Führung II - Führung in der Hierarchie</v>
      </c>
      <c r="C125" s="5">
        <v>45831</v>
      </c>
      <c r="D125" s="5">
        <v>45833</v>
      </c>
      <c r="E125" s="4"/>
      <c r="F125" s="17"/>
      <c r="G125" s="4" t="s">
        <v>18</v>
      </c>
      <c r="H125" s="4" t="s">
        <v>11</v>
      </c>
    </row>
    <row r="126" spans="1:8" x14ac:dyDescent="0.2">
      <c r="A126" s="4" t="str">
        <f>"01.120/006 b/2025"</f>
        <v>01.120/006 b/2025</v>
      </c>
      <c r="B126" s="4" t="str">
        <f t="shared" si="5"/>
        <v>Führung II - Führung in der Hierarchie</v>
      </c>
      <c r="C126" s="5">
        <v>45859</v>
      </c>
      <c r="D126" s="5">
        <v>45861</v>
      </c>
      <c r="E126" s="4"/>
      <c r="F126" s="17"/>
      <c r="G126" s="4" t="s">
        <v>18</v>
      </c>
      <c r="H126" s="4" t="s">
        <v>11</v>
      </c>
    </row>
    <row r="127" spans="1:8" x14ac:dyDescent="0.2">
      <c r="A127" s="4" t="str">
        <f>"01.120/007/2025"</f>
        <v>01.120/007/2025</v>
      </c>
      <c r="B127" s="4" t="str">
        <f t="shared" si="5"/>
        <v>Führung II - Führung in der Hierarchie</v>
      </c>
      <c r="C127" s="5">
        <v>45818</v>
      </c>
      <c r="D127" s="5">
        <v>45903</v>
      </c>
      <c r="E127" s="4" t="str">
        <f>"2x3 Tage"</f>
        <v>2x3 Tage</v>
      </c>
      <c r="F127" s="17">
        <v>1510</v>
      </c>
      <c r="G127" s="4"/>
      <c r="H127" s="4" t="s">
        <v>11</v>
      </c>
    </row>
    <row r="128" spans="1:8" x14ac:dyDescent="0.2">
      <c r="A128" s="4" t="str">
        <f>"01.120/007 a/2025"</f>
        <v>01.120/007 a/2025</v>
      </c>
      <c r="B128" s="4" t="str">
        <f t="shared" si="5"/>
        <v>Führung II - Führung in der Hierarchie</v>
      </c>
      <c r="C128" s="5">
        <v>45818</v>
      </c>
      <c r="D128" s="5">
        <v>45820</v>
      </c>
      <c r="E128" s="4"/>
      <c r="F128" s="17"/>
      <c r="G128" s="4" t="s">
        <v>18</v>
      </c>
      <c r="H128" s="4" t="s">
        <v>11</v>
      </c>
    </row>
    <row r="129" spans="1:8" x14ac:dyDescent="0.2">
      <c r="A129" s="4" t="str">
        <f>"01.120/007 b/2025"</f>
        <v>01.120/007 b/2025</v>
      </c>
      <c r="B129" s="4" t="str">
        <f t="shared" si="5"/>
        <v>Führung II - Führung in der Hierarchie</v>
      </c>
      <c r="C129" s="5">
        <v>45901</v>
      </c>
      <c r="D129" s="5">
        <v>45903</v>
      </c>
      <c r="E129" s="4"/>
      <c r="F129" s="17"/>
      <c r="G129" s="4" t="s">
        <v>18</v>
      </c>
      <c r="H129" s="4" t="s">
        <v>11</v>
      </c>
    </row>
    <row r="130" spans="1:8" x14ac:dyDescent="0.2">
      <c r="A130" s="4" t="str">
        <f>"01.120/008/2025"</f>
        <v>01.120/008/2025</v>
      </c>
      <c r="B130" s="4" t="str">
        <f t="shared" si="5"/>
        <v>Führung II - Führung in der Hierarchie</v>
      </c>
      <c r="C130" s="5">
        <v>45833</v>
      </c>
      <c r="D130" s="5">
        <v>45896</v>
      </c>
      <c r="E130" s="4" t="str">
        <f>"2x3 Tage"</f>
        <v>2x3 Tage</v>
      </c>
      <c r="F130" s="17">
        <v>1510</v>
      </c>
      <c r="G130" s="4"/>
      <c r="H130" s="4" t="s">
        <v>11</v>
      </c>
    </row>
    <row r="131" spans="1:8" x14ac:dyDescent="0.2">
      <c r="A131" s="4" t="str">
        <f>"01.120/008 a/2025"</f>
        <v>01.120/008 a/2025</v>
      </c>
      <c r="B131" s="4" t="str">
        <f t="shared" si="5"/>
        <v>Führung II - Führung in der Hierarchie</v>
      </c>
      <c r="C131" s="5">
        <v>45833</v>
      </c>
      <c r="D131" s="5">
        <v>45835</v>
      </c>
      <c r="E131" s="4"/>
      <c r="F131" s="17"/>
      <c r="G131" s="4" t="s">
        <v>18</v>
      </c>
      <c r="H131" s="4" t="s">
        <v>11</v>
      </c>
    </row>
    <row r="132" spans="1:8" x14ac:dyDescent="0.2">
      <c r="A132" s="4" t="str">
        <f>"01.120/008 b/2025"</f>
        <v>01.120/008 b/2025</v>
      </c>
      <c r="B132" s="4" t="str">
        <f t="shared" si="5"/>
        <v>Führung II - Führung in der Hierarchie</v>
      </c>
      <c r="C132" s="5">
        <v>45894</v>
      </c>
      <c r="D132" s="5">
        <v>45896</v>
      </c>
      <c r="E132" s="4"/>
      <c r="F132" s="17"/>
      <c r="G132" s="4" t="s">
        <v>18</v>
      </c>
      <c r="H132" s="4" t="s">
        <v>11</v>
      </c>
    </row>
    <row r="133" spans="1:8" x14ac:dyDescent="0.2">
      <c r="A133" s="4" t="str">
        <f>"01.120/009/2025"</f>
        <v>01.120/009/2025</v>
      </c>
      <c r="B133" s="4" t="str">
        <f t="shared" si="5"/>
        <v>Führung II - Führung in der Hierarchie</v>
      </c>
      <c r="C133" s="5">
        <v>45847</v>
      </c>
      <c r="D133" s="5">
        <v>45898</v>
      </c>
      <c r="E133" s="4" t="str">
        <f>"2x3 Tage"</f>
        <v>2x3 Tage</v>
      </c>
      <c r="F133" s="17">
        <v>1510</v>
      </c>
      <c r="G133" s="4"/>
      <c r="H133" s="4" t="s">
        <v>11</v>
      </c>
    </row>
    <row r="134" spans="1:8" x14ac:dyDescent="0.2">
      <c r="A134" s="4" t="str">
        <f>"01.120/009 a/2025"</f>
        <v>01.120/009 a/2025</v>
      </c>
      <c r="B134" s="4" t="str">
        <f t="shared" si="5"/>
        <v>Führung II - Führung in der Hierarchie</v>
      </c>
      <c r="C134" s="5">
        <v>45847</v>
      </c>
      <c r="D134" s="5">
        <v>45849</v>
      </c>
      <c r="E134" s="4"/>
      <c r="F134" s="17"/>
      <c r="G134" s="4" t="s">
        <v>18</v>
      </c>
      <c r="H134" s="4" t="s">
        <v>11</v>
      </c>
    </row>
    <row r="135" spans="1:8" x14ac:dyDescent="0.2">
      <c r="A135" s="4" t="str">
        <f>"01.120/009 b/2025"</f>
        <v>01.120/009 b/2025</v>
      </c>
      <c r="B135" s="4" t="str">
        <f t="shared" si="5"/>
        <v>Führung II - Führung in der Hierarchie</v>
      </c>
      <c r="C135" s="5">
        <v>45896</v>
      </c>
      <c r="D135" s="5">
        <v>45898</v>
      </c>
      <c r="E135" s="4"/>
      <c r="F135" s="17"/>
      <c r="G135" s="4" t="s">
        <v>18</v>
      </c>
      <c r="H135" s="4" t="s">
        <v>11</v>
      </c>
    </row>
    <row r="136" spans="1:8" x14ac:dyDescent="0.2">
      <c r="A136" s="4" t="str">
        <f>"01.120/010/2025"</f>
        <v>01.120/010/2025</v>
      </c>
      <c r="B136" s="4" t="str">
        <f t="shared" si="5"/>
        <v>Führung II - Führung in der Hierarchie</v>
      </c>
      <c r="C136" s="5">
        <v>45901</v>
      </c>
      <c r="D136" s="5">
        <v>45959</v>
      </c>
      <c r="E136" s="4" t="str">
        <f>"2x3 Tage"</f>
        <v>2x3 Tage</v>
      </c>
      <c r="F136" s="17">
        <v>1510</v>
      </c>
      <c r="G136" s="4"/>
      <c r="H136" s="4" t="s">
        <v>11</v>
      </c>
    </row>
    <row r="137" spans="1:8" x14ac:dyDescent="0.2">
      <c r="A137" s="4" t="str">
        <f>"01.120/010 a/2025"</f>
        <v>01.120/010 a/2025</v>
      </c>
      <c r="B137" s="4" t="str">
        <f t="shared" si="5"/>
        <v>Führung II - Führung in der Hierarchie</v>
      </c>
      <c r="C137" s="5">
        <v>45901</v>
      </c>
      <c r="D137" s="5">
        <v>45903</v>
      </c>
      <c r="E137" s="4"/>
      <c r="F137" s="17"/>
      <c r="G137" s="4" t="s">
        <v>18</v>
      </c>
      <c r="H137" s="4" t="s">
        <v>11</v>
      </c>
    </row>
    <row r="138" spans="1:8" x14ac:dyDescent="0.2">
      <c r="A138" s="4" t="str">
        <f>"01.120/010 b/2025"</f>
        <v>01.120/010 b/2025</v>
      </c>
      <c r="B138" s="4" t="str">
        <f t="shared" si="5"/>
        <v>Führung II - Führung in der Hierarchie</v>
      </c>
      <c r="C138" s="5">
        <v>45957</v>
      </c>
      <c r="D138" s="5">
        <v>45959</v>
      </c>
      <c r="E138" s="4"/>
      <c r="F138" s="17"/>
      <c r="G138" s="4" t="s">
        <v>18</v>
      </c>
      <c r="H138" s="4" t="s">
        <v>11</v>
      </c>
    </row>
    <row r="139" spans="1:8" x14ac:dyDescent="0.2">
      <c r="A139" s="4" t="str">
        <f>"01.120/011/2025"</f>
        <v>01.120/011/2025</v>
      </c>
      <c r="B139" s="4" t="str">
        <f t="shared" si="5"/>
        <v>Führung II - Führung in der Hierarchie</v>
      </c>
      <c r="C139" s="5">
        <v>45929</v>
      </c>
      <c r="D139" s="5">
        <v>45982</v>
      </c>
      <c r="E139" s="4" t="str">
        <f>"2x3 Tage"</f>
        <v>2x3 Tage</v>
      </c>
      <c r="F139" s="17">
        <v>1510</v>
      </c>
      <c r="G139" s="4"/>
      <c r="H139" s="4" t="s">
        <v>11</v>
      </c>
    </row>
    <row r="140" spans="1:8" x14ac:dyDescent="0.2">
      <c r="A140" s="4" t="str">
        <f>"01.120/011 a/2025"</f>
        <v>01.120/011 a/2025</v>
      </c>
      <c r="B140" s="4" t="str">
        <f t="shared" si="5"/>
        <v>Führung II - Führung in der Hierarchie</v>
      </c>
      <c r="C140" s="5">
        <v>45929</v>
      </c>
      <c r="D140" s="5">
        <v>45931</v>
      </c>
      <c r="E140" s="4"/>
      <c r="F140" s="17"/>
      <c r="G140" s="4" t="s">
        <v>18</v>
      </c>
      <c r="H140" s="4" t="s">
        <v>11</v>
      </c>
    </row>
    <row r="141" spans="1:8" x14ac:dyDescent="0.2">
      <c r="A141" s="4" t="str">
        <f>"01.120/011 b/2025"</f>
        <v>01.120/011 b/2025</v>
      </c>
      <c r="B141" s="4" t="str">
        <f t="shared" si="5"/>
        <v>Führung II - Führung in der Hierarchie</v>
      </c>
      <c r="C141" s="5">
        <v>45980</v>
      </c>
      <c r="D141" s="5">
        <v>45982</v>
      </c>
      <c r="E141" s="4"/>
      <c r="F141" s="17"/>
      <c r="G141" s="4" t="s">
        <v>18</v>
      </c>
      <c r="H141" s="4" t="s">
        <v>11</v>
      </c>
    </row>
    <row r="142" spans="1:8" x14ac:dyDescent="0.2">
      <c r="A142" s="4" t="str">
        <f>"01.121/001/2025"</f>
        <v>01.121/001/2025</v>
      </c>
      <c r="B142" s="4" t="str">
        <f t="shared" ref="B142:B162" si="6">"Führung II - Laterale Führung"</f>
        <v>Führung II - Laterale Führung</v>
      </c>
      <c r="C142" s="5">
        <v>45670</v>
      </c>
      <c r="D142" s="5">
        <v>45707</v>
      </c>
      <c r="E142" s="4" t="str">
        <f>"2x3 Tage"</f>
        <v>2x3 Tage</v>
      </c>
      <c r="F142" s="17">
        <v>1510</v>
      </c>
      <c r="G142" s="4"/>
      <c r="H142" s="4" t="s">
        <v>11</v>
      </c>
    </row>
    <row r="143" spans="1:8" x14ac:dyDescent="0.2">
      <c r="A143" s="4" t="str">
        <f>"01.121/001 a/2025"</f>
        <v>01.121/001 a/2025</v>
      </c>
      <c r="B143" s="4" t="str">
        <f t="shared" si="6"/>
        <v>Führung II - Laterale Führung</v>
      </c>
      <c r="C143" s="5">
        <v>45670</v>
      </c>
      <c r="D143" s="5">
        <v>45672</v>
      </c>
      <c r="E143" s="4"/>
      <c r="F143" s="17"/>
      <c r="G143" s="4" t="s">
        <v>18</v>
      </c>
      <c r="H143" s="4" t="s">
        <v>11</v>
      </c>
    </row>
    <row r="144" spans="1:8" x14ac:dyDescent="0.2">
      <c r="A144" s="4" t="str">
        <f>"01.121/001 b/2025"</f>
        <v>01.121/001 b/2025</v>
      </c>
      <c r="B144" s="4" t="str">
        <f t="shared" si="6"/>
        <v>Führung II - Laterale Führung</v>
      </c>
      <c r="C144" s="5">
        <v>45705</v>
      </c>
      <c r="D144" s="5">
        <v>45707</v>
      </c>
      <c r="E144" s="4"/>
      <c r="F144" s="17"/>
      <c r="G144" s="4" t="s">
        <v>18</v>
      </c>
      <c r="H144" s="4" t="s">
        <v>11</v>
      </c>
    </row>
    <row r="145" spans="1:8" x14ac:dyDescent="0.2">
      <c r="A145" s="4" t="str">
        <f>"01.121/002/2025"</f>
        <v>01.121/002/2025</v>
      </c>
      <c r="B145" s="4" t="str">
        <f t="shared" si="6"/>
        <v>Führung II - Laterale Führung</v>
      </c>
      <c r="C145" s="5">
        <v>45684</v>
      </c>
      <c r="D145" s="5">
        <v>45749</v>
      </c>
      <c r="E145" s="4" t="str">
        <f>"2x3 Tage"</f>
        <v>2x3 Tage</v>
      </c>
      <c r="F145" s="17">
        <v>1510</v>
      </c>
      <c r="G145" s="4"/>
      <c r="H145" s="4" t="s">
        <v>11</v>
      </c>
    </row>
    <row r="146" spans="1:8" x14ac:dyDescent="0.2">
      <c r="A146" s="4" t="str">
        <f>"01.121/002 a/2025"</f>
        <v>01.121/002 a/2025</v>
      </c>
      <c r="B146" s="4" t="str">
        <f t="shared" si="6"/>
        <v>Führung II - Laterale Führung</v>
      </c>
      <c r="C146" s="5">
        <v>45684</v>
      </c>
      <c r="D146" s="5">
        <v>45686</v>
      </c>
      <c r="E146" s="4"/>
      <c r="F146" s="17"/>
      <c r="G146" s="4" t="s">
        <v>18</v>
      </c>
      <c r="H146" s="4" t="s">
        <v>11</v>
      </c>
    </row>
    <row r="147" spans="1:8" x14ac:dyDescent="0.2">
      <c r="A147" s="4" t="str">
        <f>"01.121/002 b/2025"</f>
        <v>01.121/002 b/2025</v>
      </c>
      <c r="B147" s="4" t="str">
        <f t="shared" si="6"/>
        <v>Führung II - Laterale Führung</v>
      </c>
      <c r="C147" s="5">
        <v>45747</v>
      </c>
      <c r="D147" s="5">
        <v>45749</v>
      </c>
      <c r="E147" s="4"/>
      <c r="F147" s="17"/>
      <c r="G147" s="4" t="s">
        <v>18</v>
      </c>
      <c r="H147" s="4" t="s">
        <v>11</v>
      </c>
    </row>
    <row r="148" spans="1:8" x14ac:dyDescent="0.2">
      <c r="A148" s="4" t="str">
        <f>"01.121/003/2025"</f>
        <v>01.121/003/2025</v>
      </c>
      <c r="B148" s="4" t="str">
        <f t="shared" si="6"/>
        <v>Führung II - Laterale Führung</v>
      </c>
      <c r="C148" s="5">
        <v>45770</v>
      </c>
      <c r="D148" s="5">
        <v>45814</v>
      </c>
      <c r="E148" s="4" t="str">
        <f>"2x3 Tage"</f>
        <v>2x3 Tage</v>
      </c>
      <c r="F148" s="17">
        <v>1510</v>
      </c>
      <c r="G148" s="4"/>
      <c r="H148" s="4" t="s">
        <v>11</v>
      </c>
    </row>
    <row r="149" spans="1:8" x14ac:dyDescent="0.2">
      <c r="A149" s="4" t="str">
        <f>"01.121/003 a/2025"</f>
        <v>01.121/003 a/2025</v>
      </c>
      <c r="B149" s="4" t="str">
        <f t="shared" si="6"/>
        <v>Führung II - Laterale Führung</v>
      </c>
      <c r="C149" s="5">
        <v>45770</v>
      </c>
      <c r="D149" s="5">
        <v>45772</v>
      </c>
      <c r="E149" s="4"/>
      <c r="F149" s="17"/>
      <c r="G149" s="4" t="s">
        <v>18</v>
      </c>
      <c r="H149" s="4" t="s">
        <v>11</v>
      </c>
    </row>
    <row r="150" spans="1:8" x14ac:dyDescent="0.2">
      <c r="A150" s="4" t="str">
        <f>"01.121/003 b/2025"</f>
        <v>01.121/003 b/2025</v>
      </c>
      <c r="B150" s="4" t="str">
        <f t="shared" si="6"/>
        <v>Führung II - Laterale Führung</v>
      </c>
      <c r="C150" s="5">
        <v>45812</v>
      </c>
      <c r="D150" s="5">
        <v>45814</v>
      </c>
      <c r="E150" s="4"/>
      <c r="F150" s="17"/>
      <c r="G150" s="4" t="s">
        <v>18</v>
      </c>
      <c r="H150" s="4" t="s">
        <v>11</v>
      </c>
    </row>
    <row r="151" spans="1:8" x14ac:dyDescent="0.2">
      <c r="A151" s="4" t="str">
        <f>"01.121/004/2025"</f>
        <v>01.121/004/2025</v>
      </c>
      <c r="B151" s="4" t="str">
        <f t="shared" si="6"/>
        <v>Führung II - Laterale Führung</v>
      </c>
      <c r="C151" s="5">
        <v>45838</v>
      </c>
      <c r="D151" s="5">
        <v>45903</v>
      </c>
      <c r="E151" s="4" t="str">
        <f>"2x3 Tage"</f>
        <v>2x3 Tage</v>
      </c>
      <c r="F151" s="17">
        <v>1510</v>
      </c>
      <c r="G151" s="4"/>
      <c r="H151" s="4" t="s">
        <v>11</v>
      </c>
    </row>
    <row r="152" spans="1:8" x14ac:dyDescent="0.2">
      <c r="A152" s="4" t="str">
        <f>"01.121/004 a/2025"</f>
        <v>01.121/004 a/2025</v>
      </c>
      <c r="B152" s="4" t="str">
        <f t="shared" si="6"/>
        <v>Führung II - Laterale Führung</v>
      </c>
      <c r="C152" s="5">
        <v>45838</v>
      </c>
      <c r="D152" s="5">
        <v>45840</v>
      </c>
      <c r="E152" s="4"/>
      <c r="F152" s="17"/>
      <c r="G152" s="4" t="s">
        <v>18</v>
      </c>
      <c r="H152" s="4" t="s">
        <v>11</v>
      </c>
    </row>
    <row r="153" spans="1:8" x14ac:dyDescent="0.2">
      <c r="A153" s="4" t="str">
        <f>"01.121/004 b/2025"</f>
        <v>01.121/004 b/2025</v>
      </c>
      <c r="B153" s="4" t="str">
        <f t="shared" si="6"/>
        <v>Führung II - Laterale Führung</v>
      </c>
      <c r="C153" s="5">
        <v>45901</v>
      </c>
      <c r="D153" s="5">
        <v>45903</v>
      </c>
      <c r="E153" s="4"/>
      <c r="F153" s="17"/>
      <c r="G153" s="4" t="s">
        <v>18</v>
      </c>
      <c r="H153" s="4" t="s">
        <v>11</v>
      </c>
    </row>
    <row r="154" spans="1:8" x14ac:dyDescent="0.2">
      <c r="A154" s="4" t="str">
        <f>"01.121/005/2025"</f>
        <v>01.121/005/2025</v>
      </c>
      <c r="B154" s="4" t="str">
        <f t="shared" si="6"/>
        <v>Führung II - Laterale Führung</v>
      </c>
      <c r="C154" s="5">
        <v>45896</v>
      </c>
      <c r="D154" s="5">
        <v>45973</v>
      </c>
      <c r="E154" s="4" t="str">
        <f>"2x3 Tage"</f>
        <v>2x3 Tage</v>
      </c>
      <c r="F154" s="17">
        <v>1510</v>
      </c>
      <c r="G154" s="4"/>
      <c r="H154" s="4" t="s">
        <v>11</v>
      </c>
    </row>
    <row r="155" spans="1:8" x14ac:dyDescent="0.2">
      <c r="A155" s="4" t="str">
        <f>"01.121/005 a/2025"</f>
        <v>01.121/005 a/2025</v>
      </c>
      <c r="B155" s="4" t="str">
        <f t="shared" si="6"/>
        <v>Führung II - Laterale Führung</v>
      </c>
      <c r="C155" s="5">
        <v>45896</v>
      </c>
      <c r="D155" s="5">
        <v>45898</v>
      </c>
      <c r="E155" s="4"/>
      <c r="F155" s="17"/>
      <c r="G155" s="4" t="s">
        <v>18</v>
      </c>
      <c r="H155" s="4" t="s">
        <v>11</v>
      </c>
    </row>
    <row r="156" spans="1:8" x14ac:dyDescent="0.2">
      <c r="A156" s="4" t="str">
        <f>"01.121/005 b/2025"</f>
        <v>01.121/005 b/2025</v>
      </c>
      <c r="B156" s="4" t="str">
        <f t="shared" si="6"/>
        <v>Führung II - Laterale Führung</v>
      </c>
      <c r="C156" s="5">
        <v>45971</v>
      </c>
      <c r="D156" s="5">
        <v>45973</v>
      </c>
      <c r="E156" s="4"/>
      <c r="F156" s="17"/>
      <c r="G156" s="4" t="s">
        <v>18</v>
      </c>
      <c r="H156" s="4" t="s">
        <v>11</v>
      </c>
    </row>
    <row r="157" spans="1:8" x14ac:dyDescent="0.2">
      <c r="A157" s="4" t="str">
        <f>"01.121/006/2025"</f>
        <v>01.121/006/2025</v>
      </c>
      <c r="B157" s="4" t="str">
        <f t="shared" si="6"/>
        <v>Führung II - Laterale Führung</v>
      </c>
      <c r="C157" s="5">
        <v>45936</v>
      </c>
      <c r="D157" s="5">
        <v>45980</v>
      </c>
      <c r="E157" s="4" t="str">
        <f>"2x3 Tage"</f>
        <v>2x3 Tage</v>
      </c>
      <c r="F157" s="17">
        <v>1510</v>
      </c>
      <c r="G157" s="4"/>
      <c r="H157" s="4" t="s">
        <v>11</v>
      </c>
    </row>
    <row r="158" spans="1:8" x14ac:dyDescent="0.2">
      <c r="A158" s="4" t="str">
        <f>"01.121/006 a/2025"</f>
        <v>01.121/006 a/2025</v>
      </c>
      <c r="B158" s="4" t="str">
        <f t="shared" si="6"/>
        <v>Führung II - Laterale Führung</v>
      </c>
      <c r="C158" s="5">
        <v>45936</v>
      </c>
      <c r="D158" s="5">
        <v>45938</v>
      </c>
      <c r="E158" s="4"/>
      <c r="F158" s="17"/>
      <c r="G158" s="4" t="s">
        <v>18</v>
      </c>
      <c r="H158" s="4" t="s">
        <v>11</v>
      </c>
    </row>
    <row r="159" spans="1:8" x14ac:dyDescent="0.2">
      <c r="A159" s="4" t="str">
        <f>"01.121/006 b/2025"</f>
        <v>01.121/006 b/2025</v>
      </c>
      <c r="B159" s="4" t="str">
        <f t="shared" si="6"/>
        <v>Führung II - Laterale Führung</v>
      </c>
      <c r="C159" s="5">
        <v>45978</v>
      </c>
      <c r="D159" s="5">
        <v>45980</v>
      </c>
      <c r="E159" s="4"/>
      <c r="F159" s="17"/>
      <c r="G159" s="4" t="s">
        <v>18</v>
      </c>
      <c r="H159" s="4" t="s">
        <v>11</v>
      </c>
    </row>
    <row r="160" spans="1:8" x14ac:dyDescent="0.2">
      <c r="A160" s="4" t="str">
        <f>"01.121/007/2025"</f>
        <v>01.121/007/2025</v>
      </c>
      <c r="B160" s="4" t="str">
        <f t="shared" si="6"/>
        <v>Führung II - Laterale Führung</v>
      </c>
      <c r="C160" s="5">
        <v>45999</v>
      </c>
      <c r="D160" s="5">
        <v>46064</v>
      </c>
      <c r="E160" s="4" t="str">
        <f>"2x3 Tage"</f>
        <v>2x3 Tage</v>
      </c>
      <c r="F160" s="17">
        <v>1510</v>
      </c>
      <c r="G160" s="4"/>
      <c r="H160" s="4" t="s">
        <v>11</v>
      </c>
    </row>
    <row r="161" spans="1:8" x14ac:dyDescent="0.2">
      <c r="A161" s="4" t="str">
        <f>"01.121/007 a/2025"</f>
        <v>01.121/007 a/2025</v>
      </c>
      <c r="B161" s="4" t="str">
        <f t="shared" si="6"/>
        <v>Führung II - Laterale Führung</v>
      </c>
      <c r="C161" s="5">
        <v>45999</v>
      </c>
      <c r="D161" s="5">
        <v>46001</v>
      </c>
      <c r="E161" s="4"/>
      <c r="F161" s="17"/>
      <c r="G161" s="4" t="s">
        <v>18</v>
      </c>
      <c r="H161" s="4" t="s">
        <v>11</v>
      </c>
    </row>
    <row r="162" spans="1:8" x14ac:dyDescent="0.2">
      <c r="A162" s="4" t="str">
        <f>"01.121/007 b/2025"</f>
        <v>01.121/007 b/2025</v>
      </c>
      <c r="B162" s="4" t="str">
        <f t="shared" si="6"/>
        <v>Führung II - Laterale Führung</v>
      </c>
      <c r="C162" s="5">
        <v>46062</v>
      </c>
      <c r="D162" s="5">
        <v>46064</v>
      </c>
      <c r="E162" s="4"/>
      <c r="F162" s="17"/>
      <c r="G162" s="4" t="s">
        <v>18</v>
      </c>
      <c r="H162" s="4" t="s">
        <v>11</v>
      </c>
    </row>
    <row r="163" spans="1:8" x14ac:dyDescent="0.2">
      <c r="A163" s="4" t="str">
        <f>"01.124/001/2025"</f>
        <v>01.124/001/2025</v>
      </c>
      <c r="B163" s="4" t="str">
        <f>"Führung III - Führung und Zusammenarbeit"</f>
        <v>Führung III - Führung und Zusammenarbeit</v>
      </c>
      <c r="C163" s="5">
        <v>45707</v>
      </c>
      <c r="D163" s="5">
        <v>45756</v>
      </c>
      <c r="E163" s="4" t="str">
        <f>"2x3 Tage"</f>
        <v>2x3 Tage</v>
      </c>
      <c r="F163" s="17">
        <v>1510</v>
      </c>
      <c r="G163" s="4"/>
      <c r="H163" s="4" t="s">
        <v>11</v>
      </c>
    </row>
    <row r="164" spans="1:8" x14ac:dyDescent="0.2">
      <c r="A164" s="4" t="str">
        <f>"01.124/001 a/2025"</f>
        <v>01.124/001 a/2025</v>
      </c>
      <c r="B164" s="4" t="str">
        <f>"Führung III - Führung und Zusammenarbeit "</f>
        <v xml:space="preserve">Führung III - Führung und Zusammenarbeit </v>
      </c>
      <c r="C164" s="5">
        <v>45707</v>
      </c>
      <c r="D164" s="5">
        <v>45709</v>
      </c>
      <c r="E164" s="4"/>
      <c r="F164" s="17"/>
      <c r="G164" s="4" t="s">
        <v>18</v>
      </c>
      <c r="H164" s="4" t="s">
        <v>11</v>
      </c>
    </row>
    <row r="165" spans="1:8" x14ac:dyDescent="0.2">
      <c r="A165" s="4" t="str">
        <f>"01.124/001 b/2025"</f>
        <v>01.124/001 b/2025</v>
      </c>
      <c r="B165" s="4" t="str">
        <f>"Führung III - Führung und Zusammenarbeit "</f>
        <v xml:space="preserve">Führung III - Führung und Zusammenarbeit </v>
      </c>
      <c r="C165" s="5">
        <v>45754</v>
      </c>
      <c r="D165" s="5">
        <v>45756</v>
      </c>
      <c r="E165" s="4"/>
      <c r="F165" s="17"/>
      <c r="G165" s="4" t="s">
        <v>18</v>
      </c>
      <c r="H165" s="4" t="s">
        <v>11</v>
      </c>
    </row>
    <row r="166" spans="1:8" x14ac:dyDescent="0.2">
      <c r="A166" s="4" t="str">
        <f>"01.124/002/2025"</f>
        <v>01.124/002/2025</v>
      </c>
      <c r="B166" s="4" t="str">
        <f>"Führung III - Führung und Zusammenarbeit"</f>
        <v>Führung III - Führung und Zusammenarbeit</v>
      </c>
      <c r="C166" s="5">
        <v>45733</v>
      </c>
      <c r="D166" s="5">
        <v>45777</v>
      </c>
      <c r="E166" s="4" t="str">
        <f>"2x3 Tage"</f>
        <v>2x3 Tage</v>
      </c>
      <c r="F166" s="17">
        <v>1510</v>
      </c>
      <c r="G166" s="4"/>
      <c r="H166" s="4" t="s">
        <v>11</v>
      </c>
    </row>
    <row r="167" spans="1:8" x14ac:dyDescent="0.2">
      <c r="A167" s="4" t="str">
        <f>"01.124/002 a/2025"</f>
        <v>01.124/002 a/2025</v>
      </c>
      <c r="B167" s="4" t="str">
        <f>"Führung III - Führung und Zusammenarbeit "</f>
        <v xml:space="preserve">Führung III - Führung und Zusammenarbeit </v>
      </c>
      <c r="C167" s="5">
        <v>45733</v>
      </c>
      <c r="D167" s="5">
        <v>45735</v>
      </c>
      <c r="E167" s="4"/>
      <c r="F167" s="17"/>
      <c r="G167" s="4" t="s">
        <v>18</v>
      </c>
      <c r="H167" s="4" t="s">
        <v>11</v>
      </c>
    </row>
    <row r="168" spans="1:8" x14ac:dyDescent="0.2">
      <c r="A168" s="4" t="str">
        <f>"01.124/002 b/2025"</f>
        <v>01.124/002 b/2025</v>
      </c>
      <c r="B168" s="4" t="str">
        <f>"Führung III - Führung und Zusammenarbeit "</f>
        <v xml:space="preserve">Führung III - Führung und Zusammenarbeit </v>
      </c>
      <c r="C168" s="5">
        <v>45775</v>
      </c>
      <c r="D168" s="5">
        <v>45777</v>
      </c>
      <c r="E168" s="4"/>
      <c r="F168" s="17"/>
      <c r="G168" s="4" t="s">
        <v>18</v>
      </c>
      <c r="H168" s="4" t="s">
        <v>11</v>
      </c>
    </row>
    <row r="169" spans="1:8" x14ac:dyDescent="0.2">
      <c r="A169" s="4" t="str">
        <f>"01.124/003/2025"</f>
        <v>01.124/003/2025</v>
      </c>
      <c r="B169" s="4" t="str">
        <f>"Führung III - Führung und Zusammenarbeit"</f>
        <v>Führung III - Führung und Zusammenarbeit</v>
      </c>
      <c r="C169" s="5">
        <v>45748</v>
      </c>
      <c r="D169" s="5">
        <v>45791</v>
      </c>
      <c r="E169" s="4" t="str">
        <f>"2x3 Tage"</f>
        <v>2x3 Tage</v>
      </c>
      <c r="F169" s="17">
        <v>1510</v>
      </c>
      <c r="G169" s="4"/>
      <c r="H169" s="4" t="s">
        <v>11</v>
      </c>
    </row>
    <row r="170" spans="1:8" x14ac:dyDescent="0.2">
      <c r="A170" s="4" t="str">
        <f>"01.124/003 a/2025"</f>
        <v>01.124/003 a/2025</v>
      </c>
      <c r="B170" s="4" t="str">
        <f>"Führung III - Führung und Zusammenarbeit "</f>
        <v xml:space="preserve">Führung III - Führung und Zusammenarbeit </v>
      </c>
      <c r="C170" s="5">
        <v>45748</v>
      </c>
      <c r="D170" s="5">
        <v>45750</v>
      </c>
      <c r="E170" s="4"/>
      <c r="F170" s="17"/>
      <c r="G170" s="4" t="s">
        <v>18</v>
      </c>
      <c r="H170" s="4" t="s">
        <v>11</v>
      </c>
    </row>
    <row r="171" spans="1:8" x14ac:dyDescent="0.2">
      <c r="A171" s="4" t="str">
        <f>"01.124/003 b/2025"</f>
        <v>01.124/003 b/2025</v>
      </c>
      <c r="B171" s="4" t="str">
        <f>"Führung III - Führung und Zusammenarbeit "</f>
        <v xml:space="preserve">Führung III - Führung und Zusammenarbeit </v>
      </c>
      <c r="C171" s="5">
        <v>45789</v>
      </c>
      <c r="D171" s="5">
        <v>45791</v>
      </c>
      <c r="E171" s="4"/>
      <c r="F171" s="17"/>
      <c r="G171" s="4" t="s">
        <v>18</v>
      </c>
      <c r="H171" s="4" t="s">
        <v>11</v>
      </c>
    </row>
    <row r="172" spans="1:8" x14ac:dyDescent="0.2">
      <c r="A172" s="4" t="str">
        <f>"01.124/004/2025"</f>
        <v>01.124/004/2025</v>
      </c>
      <c r="B172" s="4" t="str">
        <f>"Führung III - Führung und Zusammenarbeit"</f>
        <v>Führung III - Führung und Zusammenarbeit</v>
      </c>
      <c r="C172" s="5">
        <v>45749</v>
      </c>
      <c r="D172" s="5">
        <v>45799</v>
      </c>
      <c r="E172" s="4" t="str">
        <f>"2x3 Tage"</f>
        <v>2x3 Tage</v>
      </c>
      <c r="F172" s="17">
        <v>1510</v>
      </c>
      <c r="G172" s="4"/>
      <c r="H172" s="4" t="s">
        <v>11</v>
      </c>
    </row>
    <row r="173" spans="1:8" x14ac:dyDescent="0.2">
      <c r="A173" s="4" t="str">
        <f>"01.124/004 a/2025"</f>
        <v>01.124/004 a/2025</v>
      </c>
      <c r="B173" s="4" t="str">
        <f>"Führung III - Führung und Zusammenarbeit "</f>
        <v xml:space="preserve">Führung III - Führung und Zusammenarbeit </v>
      </c>
      <c r="C173" s="5">
        <v>45749</v>
      </c>
      <c r="D173" s="5">
        <v>45751</v>
      </c>
      <c r="E173" s="4"/>
      <c r="F173" s="17"/>
      <c r="G173" s="4" t="s">
        <v>18</v>
      </c>
      <c r="H173" s="4" t="s">
        <v>11</v>
      </c>
    </row>
    <row r="174" spans="1:8" x14ac:dyDescent="0.2">
      <c r="A174" s="4" t="str">
        <f>"01.124/004 b/2025"</f>
        <v>01.124/004 b/2025</v>
      </c>
      <c r="B174" s="4" t="str">
        <f>"Führung III - Führung und Zusammenarbeit "</f>
        <v xml:space="preserve">Führung III - Führung und Zusammenarbeit </v>
      </c>
      <c r="C174" s="5">
        <v>45797</v>
      </c>
      <c r="D174" s="5">
        <v>45799</v>
      </c>
      <c r="E174" s="4"/>
      <c r="F174" s="17"/>
      <c r="G174" s="4" t="s">
        <v>18</v>
      </c>
      <c r="H174" s="4" t="s">
        <v>11</v>
      </c>
    </row>
    <row r="175" spans="1:8" x14ac:dyDescent="0.2">
      <c r="A175" s="4" t="str">
        <f>"01.124/005/2025"</f>
        <v>01.124/005/2025</v>
      </c>
      <c r="B175" s="4" t="str">
        <f>"Führung III - Führung und Zusammenarbeit"</f>
        <v>Führung III - Führung und Zusammenarbeit</v>
      </c>
      <c r="C175" s="5">
        <v>45740</v>
      </c>
      <c r="D175" s="5">
        <v>45835</v>
      </c>
      <c r="E175" s="4" t="str">
        <f>"2x3 Tage"</f>
        <v>2x3 Tage</v>
      </c>
      <c r="F175" s="17">
        <v>1510</v>
      </c>
      <c r="G175" s="4"/>
      <c r="H175" s="4" t="s">
        <v>11</v>
      </c>
    </row>
    <row r="176" spans="1:8" x14ac:dyDescent="0.2">
      <c r="A176" s="4" t="str">
        <f>"01.124/005 a/2025"</f>
        <v>01.124/005 a/2025</v>
      </c>
      <c r="B176" s="4" t="str">
        <f>"Führung III - Führung und Zusammenarbeit "</f>
        <v xml:space="preserve">Führung III - Führung und Zusammenarbeit </v>
      </c>
      <c r="C176" s="5">
        <v>45740</v>
      </c>
      <c r="D176" s="5">
        <v>45742</v>
      </c>
      <c r="E176" s="4"/>
      <c r="F176" s="17"/>
      <c r="G176" s="4" t="s">
        <v>18</v>
      </c>
      <c r="H176" s="4" t="s">
        <v>11</v>
      </c>
    </row>
    <row r="177" spans="1:8" x14ac:dyDescent="0.2">
      <c r="A177" s="4" t="str">
        <f>"01.124/005 b/2025"</f>
        <v>01.124/005 b/2025</v>
      </c>
      <c r="B177" s="4" t="str">
        <f>"Führung III - Führung und Zusammenarbeit "</f>
        <v xml:space="preserve">Führung III - Führung und Zusammenarbeit </v>
      </c>
      <c r="C177" s="5">
        <v>45833</v>
      </c>
      <c r="D177" s="5">
        <v>45835</v>
      </c>
      <c r="E177" s="4"/>
      <c r="F177" s="17"/>
      <c r="G177" s="4" t="s">
        <v>18</v>
      </c>
      <c r="H177" s="4" t="s">
        <v>11</v>
      </c>
    </row>
    <row r="178" spans="1:8" x14ac:dyDescent="0.2">
      <c r="A178" s="4" t="str">
        <f>"01.124/006/2025"</f>
        <v>01.124/006/2025</v>
      </c>
      <c r="B178" s="4" t="str">
        <f>"Führung III - Führung und Zusammenarbeit"</f>
        <v>Führung III - Führung und Zusammenarbeit</v>
      </c>
      <c r="C178" s="5">
        <v>45782</v>
      </c>
      <c r="D178" s="5">
        <v>45812</v>
      </c>
      <c r="E178" s="4" t="str">
        <f>"2x3 Tage"</f>
        <v>2x3 Tage</v>
      </c>
      <c r="F178" s="17">
        <v>1510</v>
      </c>
      <c r="G178" s="4"/>
      <c r="H178" s="4" t="s">
        <v>11</v>
      </c>
    </row>
    <row r="179" spans="1:8" x14ac:dyDescent="0.2">
      <c r="A179" s="4" t="str">
        <f>"01.124/006 a/2025"</f>
        <v>01.124/006 a/2025</v>
      </c>
      <c r="B179" s="4" t="str">
        <f>"Führung III - Führung und Zusammenarbeit "</f>
        <v xml:space="preserve">Führung III - Führung und Zusammenarbeit </v>
      </c>
      <c r="C179" s="5">
        <v>45782</v>
      </c>
      <c r="D179" s="5">
        <v>45784</v>
      </c>
      <c r="E179" s="4"/>
      <c r="F179" s="17"/>
      <c r="G179" s="4" t="s">
        <v>18</v>
      </c>
      <c r="H179" s="4" t="s">
        <v>11</v>
      </c>
    </row>
    <row r="180" spans="1:8" x14ac:dyDescent="0.2">
      <c r="A180" s="4" t="str">
        <f>"01.124/006 b/2025"</f>
        <v>01.124/006 b/2025</v>
      </c>
      <c r="B180" s="4" t="str">
        <f>"Führung III - Führung und Zusammenarbeit "</f>
        <v xml:space="preserve">Führung III - Führung und Zusammenarbeit </v>
      </c>
      <c r="C180" s="5">
        <v>45810</v>
      </c>
      <c r="D180" s="5">
        <v>45812</v>
      </c>
      <c r="E180" s="4"/>
      <c r="F180" s="17"/>
      <c r="G180" s="4" t="s">
        <v>18</v>
      </c>
      <c r="H180" s="4" t="s">
        <v>11</v>
      </c>
    </row>
    <row r="181" spans="1:8" x14ac:dyDescent="0.2">
      <c r="A181" s="4" t="str">
        <f>"01.124/007/2025"</f>
        <v>01.124/007/2025</v>
      </c>
      <c r="B181" s="4" t="str">
        <f>"Führung III - Führung und Zusammenarbeit"</f>
        <v>Führung III - Führung und Zusammenarbeit</v>
      </c>
      <c r="C181" s="5">
        <v>45924</v>
      </c>
      <c r="D181" s="5">
        <v>45973</v>
      </c>
      <c r="E181" s="4" t="str">
        <f>"2x3 Tage"</f>
        <v>2x3 Tage</v>
      </c>
      <c r="F181" s="17">
        <v>1510</v>
      </c>
      <c r="G181" s="4"/>
      <c r="H181" s="4" t="s">
        <v>11</v>
      </c>
    </row>
    <row r="182" spans="1:8" x14ac:dyDescent="0.2">
      <c r="A182" s="4" t="str">
        <f>"01.124/007 a/2025"</f>
        <v>01.124/007 a/2025</v>
      </c>
      <c r="B182" s="4" t="str">
        <f>"Führung III - Führung und Zusammenarbeit "</f>
        <v xml:space="preserve">Führung III - Führung und Zusammenarbeit </v>
      </c>
      <c r="C182" s="5">
        <v>45924</v>
      </c>
      <c r="D182" s="5">
        <v>45926</v>
      </c>
      <c r="E182" s="4"/>
      <c r="F182" s="17"/>
      <c r="G182" s="4" t="s">
        <v>18</v>
      </c>
      <c r="H182" s="4" t="s">
        <v>11</v>
      </c>
    </row>
    <row r="183" spans="1:8" x14ac:dyDescent="0.2">
      <c r="A183" s="4" t="str">
        <f>"01.124/007 b/2025"</f>
        <v>01.124/007 b/2025</v>
      </c>
      <c r="B183" s="4" t="str">
        <f>"Führung III - Führung und Zusammenarbeit "</f>
        <v xml:space="preserve">Führung III - Führung und Zusammenarbeit </v>
      </c>
      <c r="C183" s="5">
        <v>45971</v>
      </c>
      <c r="D183" s="5">
        <v>45973</v>
      </c>
      <c r="E183" s="4"/>
      <c r="F183" s="17"/>
      <c r="G183" s="4" t="s">
        <v>18</v>
      </c>
      <c r="H183" s="4" t="s">
        <v>11</v>
      </c>
    </row>
    <row r="184" spans="1:8" x14ac:dyDescent="0.2">
      <c r="A184" s="4" t="str">
        <f>"01.130/001/2025"</f>
        <v>01.130/001/2025</v>
      </c>
      <c r="B184" s="4" t="str">
        <f>"Führen im ersten Einstiegsamt der Laufbahngruppe 2"</f>
        <v>Führen im ersten Einstiegsamt der Laufbahngruppe 2</v>
      </c>
      <c r="C184" s="5">
        <v>45670</v>
      </c>
      <c r="D184" s="5">
        <v>45832</v>
      </c>
      <c r="E184" s="4" t="str">
        <f>"1x3 Tage, 3x2 Tage"</f>
        <v>1x3 Tage, 3x2 Tage</v>
      </c>
      <c r="F184" s="17">
        <v>2240</v>
      </c>
      <c r="G184" s="4"/>
      <c r="H184" s="4" t="s">
        <v>11</v>
      </c>
    </row>
    <row r="185" spans="1:8" x14ac:dyDescent="0.2">
      <c r="A185" s="4" t="str">
        <f>"01.130/001 a/2025"</f>
        <v>01.130/001 a/2025</v>
      </c>
      <c r="B185" s="4" t="str">
        <f>"Führungstraining für Beschäftigte im ersten Einstiegsamt der Laufbahngruppe 2"</f>
        <v>Führungstraining für Beschäftigte im ersten Einstiegsamt der Laufbahngruppe 2</v>
      </c>
      <c r="C185" s="5">
        <v>45670</v>
      </c>
      <c r="D185" s="5">
        <v>45672</v>
      </c>
      <c r="E185" s="4"/>
      <c r="F185" s="17"/>
      <c r="G185" s="4" t="s">
        <v>18</v>
      </c>
      <c r="H185" s="4" t="s">
        <v>11</v>
      </c>
    </row>
    <row r="186" spans="1:8" x14ac:dyDescent="0.2">
      <c r="A186" s="4" t="str">
        <f>"01.130/001 b/2025"</f>
        <v>01.130/001 b/2025</v>
      </c>
      <c r="B186" s="4" t="str">
        <f>"Führungstraining für Beschäftigte im ersten Einstiegsamt der Laufbahngruppe 2"</f>
        <v>Führungstraining für Beschäftigte im ersten Einstiegsamt der Laufbahngruppe 2</v>
      </c>
      <c r="C186" s="5">
        <v>45699</v>
      </c>
      <c r="D186" s="5">
        <v>45700</v>
      </c>
      <c r="E186" s="4"/>
      <c r="F186" s="17"/>
      <c r="G186" s="4" t="s">
        <v>18</v>
      </c>
      <c r="H186" s="4" t="s">
        <v>11</v>
      </c>
    </row>
    <row r="187" spans="1:8" x14ac:dyDescent="0.2">
      <c r="A187" s="4" t="str">
        <f>"01.130/001 c/2025"</f>
        <v>01.130/001 c/2025</v>
      </c>
      <c r="B187" s="4" t="str">
        <f>"Führungstraining für Beschäftigte im ersten Einstiegsamt der Laufbahngruppe 2"</f>
        <v>Führungstraining für Beschäftigte im ersten Einstiegsamt der Laufbahngruppe 2</v>
      </c>
      <c r="C187" s="5">
        <v>45729</v>
      </c>
      <c r="D187" s="5">
        <v>45730</v>
      </c>
      <c r="E187" s="4"/>
      <c r="F187" s="17"/>
      <c r="G187" s="4" t="s">
        <v>18</v>
      </c>
      <c r="H187" s="4" t="s">
        <v>11</v>
      </c>
    </row>
    <row r="188" spans="1:8" x14ac:dyDescent="0.2">
      <c r="A188" s="4" t="str">
        <f>"01.130/001 d/2025"</f>
        <v>01.130/001 d/2025</v>
      </c>
      <c r="B188" s="4" t="str">
        <f>"Führungstraining für Beschäftigte im ersten Einstiegsamt der Laufbahngruppe 2"</f>
        <v>Führungstraining für Beschäftigte im ersten Einstiegsamt der Laufbahngruppe 2</v>
      </c>
      <c r="C188" s="5">
        <v>45831</v>
      </c>
      <c r="D188" s="5">
        <v>45832</v>
      </c>
      <c r="E188" s="4"/>
      <c r="F188" s="17"/>
      <c r="G188" s="4" t="s">
        <v>18</v>
      </c>
      <c r="H188" s="4" t="s">
        <v>11</v>
      </c>
    </row>
    <row r="189" spans="1:8" x14ac:dyDescent="0.2">
      <c r="A189" s="4" t="str">
        <f>"01.130/002/2025"</f>
        <v>01.130/002/2025</v>
      </c>
      <c r="B189" s="4" t="str">
        <f>"Führen im ersten Einstiegsamt der Laufbahngruppe 2 - Blended"</f>
        <v>Führen im ersten Einstiegsamt der Laufbahngruppe 2 - Blended</v>
      </c>
      <c r="C189" s="5">
        <v>45698</v>
      </c>
      <c r="D189" s="5">
        <v>45846</v>
      </c>
      <c r="E189" s="4" t="str">
        <f>"1x3 Tage, 3x2 Tage"</f>
        <v>1x3 Tage, 3x2 Tage</v>
      </c>
      <c r="F189" s="17">
        <v>2240</v>
      </c>
      <c r="G189" s="4"/>
      <c r="H189" s="4" t="s">
        <v>11</v>
      </c>
    </row>
    <row r="190" spans="1:8" x14ac:dyDescent="0.2">
      <c r="A190" s="4" t="str">
        <f>"01.130/002 a/2025"</f>
        <v>01.130/002 a/2025</v>
      </c>
      <c r="B190" s="4" t="str">
        <f>"Führungstraining für Beschäftigte im ersten Einstiegsamt der Laufbahngruppe 2 - Blended"</f>
        <v>Führungstraining für Beschäftigte im ersten Einstiegsamt der Laufbahngruppe 2 - Blended</v>
      </c>
      <c r="C190" s="5">
        <v>45698</v>
      </c>
      <c r="D190" s="5">
        <v>45700</v>
      </c>
      <c r="E190" s="4"/>
      <c r="F190" s="17"/>
      <c r="G190" s="4" t="s">
        <v>18</v>
      </c>
      <c r="H190" s="4" t="s">
        <v>11</v>
      </c>
    </row>
    <row r="191" spans="1:8" x14ac:dyDescent="0.2">
      <c r="A191" s="4" t="str">
        <f>"01.130/002 b/2025"</f>
        <v>01.130/002 b/2025</v>
      </c>
      <c r="B191" s="4" t="str">
        <f>"Führungstraining für Beschäftigte im ersten Einstiegsamt der Laufbahngruppe 2 - Blended"</f>
        <v>Führungstraining für Beschäftigte im ersten Einstiegsamt der Laufbahngruppe 2 - Blended</v>
      </c>
      <c r="C191" s="5">
        <v>45733</v>
      </c>
      <c r="D191" s="5">
        <v>45734</v>
      </c>
      <c r="E191" s="4"/>
      <c r="F191" s="17"/>
      <c r="G191" s="4" t="s">
        <v>18</v>
      </c>
      <c r="H191" s="4" t="s">
        <v>11</v>
      </c>
    </row>
    <row r="192" spans="1:8" x14ac:dyDescent="0.2">
      <c r="A192" s="4" t="str">
        <f>"01.130/002 c/2025"</f>
        <v>01.130/002 c/2025</v>
      </c>
      <c r="B192" s="4" t="str">
        <f>"Führungstraining für Beschäftigte im ersten Einstiegsamt der Laufbahngruppe 2 - Blended"</f>
        <v>Führungstraining für Beschäftigte im ersten Einstiegsamt der Laufbahngruppe 2 - Blended</v>
      </c>
      <c r="C192" s="5">
        <v>45789</v>
      </c>
      <c r="D192" s="5">
        <v>45790</v>
      </c>
      <c r="E192" s="4"/>
      <c r="F192" s="17"/>
      <c r="G192" s="4" t="s">
        <v>18</v>
      </c>
      <c r="H192" s="4" t="s">
        <v>11</v>
      </c>
    </row>
    <row r="193" spans="1:8" x14ac:dyDescent="0.2">
      <c r="A193" s="4" t="str">
        <f>"01.130/002 d/2025"</f>
        <v>01.130/002 d/2025</v>
      </c>
      <c r="B193" s="4" t="str">
        <f>"Führungstraining für Beschäftigte im ersten Einstiegsamt der Laufbahngruppe 2 - Blended"</f>
        <v>Führungstraining für Beschäftigte im ersten Einstiegsamt der Laufbahngruppe 2 - Blended</v>
      </c>
      <c r="C193" s="5">
        <v>45845</v>
      </c>
      <c r="D193" s="5">
        <v>45846</v>
      </c>
      <c r="E193" s="4"/>
      <c r="F193" s="17"/>
      <c r="G193" s="4" t="s">
        <v>18</v>
      </c>
      <c r="H193" s="4" t="s">
        <v>11</v>
      </c>
    </row>
    <row r="194" spans="1:8" x14ac:dyDescent="0.2">
      <c r="A194" s="4" t="str">
        <f>"01.130/003/2025"</f>
        <v>01.130/003/2025</v>
      </c>
      <c r="B194" s="4" t="str">
        <f>"Führen im ersten Einstiegsamt der Laufbahngruppe 2"</f>
        <v>Führen im ersten Einstiegsamt der Laufbahngruppe 2</v>
      </c>
      <c r="C194" s="5">
        <v>45714</v>
      </c>
      <c r="D194" s="5">
        <v>45793</v>
      </c>
      <c r="E194" s="4" t="str">
        <f>"1x3 Tage, 3x2 Tage"</f>
        <v>1x3 Tage, 3x2 Tage</v>
      </c>
      <c r="F194" s="17">
        <v>2240</v>
      </c>
      <c r="G194" s="4"/>
      <c r="H194" s="4" t="s">
        <v>11</v>
      </c>
    </row>
    <row r="195" spans="1:8" x14ac:dyDescent="0.2">
      <c r="A195" s="4" t="str">
        <f>"01.130/003 a/2025"</f>
        <v>01.130/003 a/2025</v>
      </c>
      <c r="B195" s="4" t="str">
        <f>"Führungstraining für Beschäftigte im ersten Einstiegsamt der Laufbahngruppe 2"</f>
        <v>Führungstraining für Beschäftigte im ersten Einstiegsamt der Laufbahngruppe 2</v>
      </c>
      <c r="C195" s="5">
        <v>45714</v>
      </c>
      <c r="D195" s="5">
        <v>45716</v>
      </c>
      <c r="E195" s="4"/>
      <c r="F195" s="17"/>
      <c r="G195" s="4" t="s">
        <v>18</v>
      </c>
      <c r="H195" s="4" t="s">
        <v>11</v>
      </c>
    </row>
    <row r="196" spans="1:8" x14ac:dyDescent="0.2">
      <c r="A196" s="4" t="str">
        <f>"01.130/003 b/2025"</f>
        <v>01.130/003 b/2025</v>
      </c>
      <c r="B196" s="4" t="str">
        <f>"Führungstraining für Beschäftigte im ersten Einstiegsamt der Laufbahngruppe 2"</f>
        <v>Führungstraining für Beschäftigte im ersten Einstiegsamt der Laufbahngruppe 2</v>
      </c>
      <c r="C196" s="5">
        <v>45754</v>
      </c>
      <c r="D196" s="5">
        <v>45755</v>
      </c>
      <c r="E196" s="4"/>
      <c r="F196" s="17"/>
      <c r="G196" s="4" t="s">
        <v>18</v>
      </c>
      <c r="H196" s="4" t="s">
        <v>11</v>
      </c>
    </row>
    <row r="197" spans="1:8" x14ac:dyDescent="0.2">
      <c r="A197" s="4" t="str">
        <f>"01.130/003 c/2025"</f>
        <v>01.130/003 c/2025</v>
      </c>
      <c r="B197" s="4" t="str">
        <f>"Führungstraining für Beschäftigte im ersten Einstiegsamt der Laufbahngruppe 2"</f>
        <v>Führungstraining für Beschäftigte im ersten Einstiegsamt der Laufbahngruppe 2</v>
      </c>
      <c r="C197" s="5">
        <v>45771</v>
      </c>
      <c r="D197" s="5">
        <v>45772</v>
      </c>
      <c r="E197" s="4"/>
      <c r="F197" s="17"/>
      <c r="G197" s="4" t="s">
        <v>18</v>
      </c>
      <c r="H197" s="4" t="s">
        <v>11</v>
      </c>
    </row>
    <row r="198" spans="1:8" x14ac:dyDescent="0.2">
      <c r="A198" s="4" t="str">
        <f>"01.130/003 d/2025"</f>
        <v>01.130/003 d/2025</v>
      </c>
      <c r="B198" s="4" t="str">
        <f>"Führungstraining für Beschäftigte im ersten Einstiegsamt der Laufbahngruppe 2"</f>
        <v>Führungstraining für Beschäftigte im ersten Einstiegsamt der Laufbahngruppe 2</v>
      </c>
      <c r="C198" s="5">
        <v>45792</v>
      </c>
      <c r="D198" s="5">
        <v>45793</v>
      </c>
      <c r="E198" s="4"/>
      <c r="F198" s="17"/>
      <c r="G198" s="4" t="s">
        <v>18</v>
      </c>
      <c r="H198" s="4" t="s">
        <v>11</v>
      </c>
    </row>
    <row r="199" spans="1:8" x14ac:dyDescent="0.2">
      <c r="A199" s="4" t="str">
        <f>"01.130/004/2025"</f>
        <v>01.130/004/2025</v>
      </c>
      <c r="B199" s="4" t="str">
        <f>"Führen im ersten Einstiegsamt der Laufbahngruppe 2"</f>
        <v>Führen im ersten Einstiegsamt der Laufbahngruppe 2</v>
      </c>
      <c r="C199" s="5">
        <v>45749</v>
      </c>
      <c r="D199" s="5">
        <v>45954</v>
      </c>
      <c r="E199" s="4" t="str">
        <f>"1x3 Tage, 3x2 Tage"</f>
        <v>1x3 Tage, 3x2 Tage</v>
      </c>
      <c r="F199" s="17">
        <v>2240</v>
      </c>
      <c r="G199" s="4"/>
      <c r="H199" s="4" t="s">
        <v>11</v>
      </c>
    </row>
    <row r="200" spans="1:8" x14ac:dyDescent="0.2">
      <c r="A200" s="4" t="str">
        <f>"01.130/004 a/2025"</f>
        <v>01.130/004 a/2025</v>
      </c>
      <c r="B200" s="4" t="str">
        <f>"Führungstraining für Beschäftigte im ersten Einstiegsamt der Laufbahngruppe 2"</f>
        <v>Führungstraining für Beschäftigte im ersten Einstiegsamt der Laufbahngruppe 2</v>
      </c>
      <c r="C200" s="5">
        <v>45749</v>
      </c>
      <c r="D200" s="5">
        <v>45751</v>
      </c>
      <c r="E200" s="4"/>
      <c r="F200" s="17"/>
      <c r="G200" s="4" t="s">
        <v>18</v>
      </c>
      <c r="H200" s="4" t="s">
        <v>11</v>
      </c>
    </row>
    <row r="201" spans="1:8" x14ac:dyDescent="0.2">
      <c r="A201" s="4" t="str">
        <f>"01.130/004 b/2025"</f>
        <v>01.130/004 b/2025</v>
      </c>
      <c r="B201" s="4" t="str">
        <f>"Führungstraining für Beschäftigte im ersten Einstiegsamt der Laufbahngruppe 2"</f>
        <v>Führungstraining für Beschäftigte im ersten Einstiegsamt der Laufbahngruppe 2</v>
      </c>
      <c r="C201" s="5">
        <v>45792</v>
      </c>
      <c r="D201" s="5">
        <v>45793</v>
      </c>
      <c r="E201" s="4"/>
      <c r="F201" s="17"/>
      <c r="G201" s="4" t="s">
        <v>18</v>
      </c>
      <c r="H201" s="4" t="s">
        <v>11</v>
      </c>
    </row>
    <row r="202" spans="1:8" x14ac:dyDescent="0.2">
      <c r="A202" s="4" t="str">
        <f>"01.130/004 c/2025"</f>
        <v>01.130/004 c/2025</v>
      </c>
      <c r="B202" s="4" t="str">
        <f>"Führungstraining für Beschäftigte im ersten Einstiegsamt der Laufbahngruppe 2"</f>
        <v>Führungstraining für Beschäftigte im ersten Einstiegsamt der Laufbahngruppe 2</v>
      </c>
      <c r="C202" s="5">
        <v>45908</v>
      </c>
      <c r="D202" s="5">
        <v>45909</v>
      </c>
      <c r="E202" s="4"/>
      <c r="F202" s="17"/>
      <c r="G202" s="4" t="s">
        <v>18</v>
      </c>
      <c r="H202" s="4" t="s">
        <v>11</v>
      </c>
    </row>
    <row r="203" spans="1:8" x14ac:dyDescent="0.2">
      <c r="A203" s="4" t="str">
        <f>"01.130/004 d/2025"</f>
        <v>01.130/004 d/2025</v>
      </c>
      <c r="B203" s="4" t="str">
        <f>"Führungstraining für Beschäftigte im ersten Einstiegsamt der Laufbahngruppe 2"</f>
        <v>Führungstraining für Beschäftigte im ersten Einstiegsamt der Laufbahngruppe 2</v>
      </c>
      <c r="C203" s="5">
        <v>45953</v>
      </c>
      <c r="D203" s="5">
        <v>45954</v>
      </c>
      <c r="E203" s="4"/>
      <c r="F203" s="17"/>
      <c r="G203" s="4" t="s">
        <v>18</v>
      </c>
      <c r="H203" s="4" t="s">
        <v>11</v>
      </c>
    </row>
    <row r="204" spans="1:8" x14ac:dyDescent="0.2">
      <c r="A204" s="4" t="str">
        <f>"01.130/005/2025"</f>
        <v>01.130/005/2025</v>
      </c>
      <c r="B204" s="4" t="str">
        <f>"Führen im ersten Einstiegsamt der Laufbahngruppe 2"</f>
        <v>Führen im ersten Einstiegsamt der Laufbahngruppe 2</v>
      </c>
      <c r="C204" s="5">
        <v>45754</v>
      </c>
      <c r="D204" s="5">
        <v>45960</v>
      </c>
      <c r="E204" s="4" t="str">
        <f>"1x3 Tage, 3x2 Tage"</f>
        <v>1x3 Tage, 3x2 Tage</v>
      </c>
      <c r="F204" s="17">
        <v>2240</v>
      </c>
      <c r="G204" s="4"/>
      <c r="H204" s="4" t="s">
        <v>11</v>
      </c>
    </row>
    <row r="205" spans="1:8" x14ac:dyDescent="0.2">
      <c r="A205" s="4" t="str">
        <f>"01.130/005 a/2025"</f>
        <v>01.130/005 a/2025</v>
      </c>
      <c r="B205" s="4" t="str">
        <f>"Führungstraining für Beschäftigte im ersten Einstiegsamt der Laufbahngruppe 2"</f>
        <v>Führungstraining für Beschäftigte im ersten Einstiegsamt der Laufbahngruppe 2</v>
      </c>
      <c r="C205" s="5">
        <v>45754</v>
      </c>
      <c r="D205" s="5">
        <v>45756</v>
      </c>
      <c r="E205" s="4"/>
      <c r="F205" s="17"/>
      <c r="G205" s="4" t="s">
        <v>18</v>
      </c>
      <c r="H205" s="4" t="s">
        <v>11</v>
      </c>
    </row>
    <row r="206" spans="1:8" x14ac:dyDescent="0.2">
      <c r="A206" s="4" t="str">
        <f>"01.130/005 b/2025"</f>
        <v>01.130/005 b/2025</v>
      </c>
      <c r="B206" s="4" t="str">
        <f>"Führungstraining für Beschäftigte im ersten Einstiegsamt der Laufbahngruppe 2"</f>
        <v>Führungstraining für Beschäftigte im ersten Einstiegsamt der Laufbahngruppe 2</v>
      </c>
      <c r="C206" s="5">
        <v>45831</v>
      </c>
      <c r="D206" s="5">
        <v>45832</v>
      </c>
      <c r="E206" s="4"/>
      <c r="F206" s="17"/>
      <c r="G206" s="4" t="s">
        <v>18</v>
      </c>
      <c r="H206" s="4" t="s">
        <v>11</v>
      </c>
    </row>
    <row r="207" spans="1:8" x14ac:dyDescent="0.2">
      <c r="A207" s="4" t="str">
        <f>"01.130/005 c/2025"</f>
        <v>01.130/005 c/2025</v>
      </c>
      <c r="B207" s="4" t="str">
        <f>"Führungstraining für Beschäftigte im ersten Einstiegsamt der Laufbahngruppe 2"</f>
        <v>Führungstraining für Beschäftigte im ersten Einstiegsamt der Laufbahngruppe 2</v>
      </c>
      <c r="C207" s="5">
        <v>45861</v>
      </c>
      <c r="D207" s="5">
        <v>45862</v>
      </c>
      <c r="E207" s="4"/>
      <c r="F207" s="17"/>
      <c r="G207" s="4" t="s">
        <v>18</v>
      </c>
      <c r="H207" s="4" t="s">
        <v>11</v>
      </c>
    </row>
    <row r="208" spans="1:8" x14ac:dyDescent="0.2">
      <c r="A208" s="4" t="str">
        <f>"01.130/005 d/2025"</f>
        <v>01.130/005 d/2025</v>
      </c>
      <c r="B208" s="4" t="str">
        <f>"Führungstraining für Beschäftigte im ersten Einstiegsamt der Laufbahngruppe 2"</f>
        <v>Führungstraining für Beschäftigte im ersten Einstiegsamt der Laufbahngruppe 2</v>
      </c>
      <c r="C208" s="5">
        <v>45959</v>
      </c>
      <c r="D208" s="5">
        <v>45960</v>
      </c>
      <c r="E208" s="4"/>
      <c r="F208" s="17"/>
      <c r="G208" s="4" t="s">
        <v>18</v>
      </c>
      <c r="H208" s="4" t="s">
        <v>11</v>
      </c>
    </row>
    <row r="209" spans="1:8" x14ac:dyDescent="0.2">
      <c r="A209" s="4" t="str">
        <f>"01.130/006/2025"</f>
        <v>01.130/006/2025</v>
      </c>
      <c r="B209" s="4" t="str">
        <f>"Führen im ersten Einstiegsamt der Laufbahngruppe 2"</f>
        <v>Führen im ersten Einstiegsamt der Laufbahngruppe 2</v>
      </c>
      <c r="C209" s="5">
        <v>45854</v>
      </c>
      <c r="D209" s="5">
        <v>46007</v>
      </c>
      <c r="E209" s="4" t="str">
        <f>"1x3 Tage, 3x2 Tage"</f>
        <v>1x3 Tage, 3x2 Tage</v>
      </c>
      <c r="F209" s="17">
        <v>2240</v>
      </c>
      <c r="G209" s="4"/>
      <c r="H209" s="4" t="s">
        <v>11</v>
      </c>
    </row>
    <row r="210" spans="1:8" x14ac:dyDescent="0.2">
      <c r="A210" s="4" t="str">
        <f>"01.130/006 a/2025"</f>
        <v>01.130/006 a/2025</v>
      </c>
      <c r="B210" s="4" t="str">
        <f>"Führungstraining für Beschäftigte im ersten Einstiegsamt der Laufbahngruppe 2"</f>
        <v>Führungstraining für Beschäftigte im ersten Einstiegsamt der Laufbahngruppe 2</v>
      </c>
      <c r="C210" s="5">
        <v>45854</v>
      </c>
      <c r="D210" s="5">
        <v>45856</v>
      </c>
      <c r="E210" s="4"/>
      <c r="F210" s="17"/>
      <c r="G210" s="4" t="s">
        <v>18</v>
      </c>
      <c r="H210" s="4" t="s">
        <v>11</v>
      </c>
    </row>
    <row r="211" spans="1:8" x14ac:dyDescent="0.2">
      <c r="A211" s="4" t="str">
        <f>"01.130/006 b/2025"</f>
        <v>01.130/006 b/2025</v>
      </c>
      <c r="B211" s="4" t="str">
        <f>"Führungstraining für Beschäftigte im ersten Einstiegsamt der Laufbahngruppe 2"</f>
        <v>Führungstraining für Beschäftigte im ersten Einstiegsamt der Laufbahngruppe 2</v>
      </c>
      <c r="C211" s="5">
        <v>45922</v>
      </c>
      <c r="D211" s="5">
        <v>45923</v>
      </c>
      <c r="E211" s="4"/>
      <c r="F211" s="17"/>
      <c r="G211" s="4" t="s">
        <v>18</v>
      </c>
      <c r="H211" s="4" t="s">
        <v>11</v>
      </c>
    </row>
    <row r="212" spans="1:8" x14ac:dyDescent="0.2">
      <c r="A212" s="4" t="str">
        <f>"01.130/006 c/2025"</f>
        <v>01.130/006 c/2025</v>
      </c>
      <c r="B212" s="4" t="str">
        <f>"Führungstraining für Beschäftigte im ersten Einstiegsamt der Laufbahngruppe 2"</f>
        <v>Führungstraining für Beschäftigte im ersten Einstiegsamt der Laufbahngruppe 2</v>
      </c>
      <c r="C212" s="5">
        <v>45985</v>
      </c>
      <c r="D212" s="5">
        <v>45986</v>
      </c>
      <c r="E212" s="4"/>
      <c r="F212" s="17"/>
      <c r="G212" s="4" t="s">
        <v>18</v>
      </c>
      <c r="H212" s="4" t="s">
        <v>11</v>
      </c>
    </row>
    <row r="213" spans="1:8" x14ac:dyDescent="0.2">
      <c r="A213" s="4" t="str">
        <f>"01.130/006 d/2025"</f>
        <v>01.130/006 d/2025</v>
      </c>
      <c r="B213" s="4" t="str">
        <f>"Führungstraining für Beschäftigte im ersten Einstiegsamt der Laufbahngruppe 2"</f>
        <v>Führungstraining für Beschäftigte im ersten Einstiegsamt der Laufbahngruppe 2</v>
      </c>
      <c r="C213" s="5">
        <v>46006</v>
      </c>
      <c r="D213" s="5">
        <v>46007</v>
      </c>
      <c r="E213" s="4"/>
      <c r="F213" s="17"/>
      <c r="G213" s="4" t="s">
        <v>18</v>
      </c>
      <c r="H213" s="4" t="s">
        <v>11</v>
      </c>
    </row>
    <row r="214" spans="1:8" x14ac:dyDescent="0.2">
      <c r="A214" s="4" t="str">
        <f>"01.135/001/2025"</f>
        <v>01.135/001/2025</v>
      </c>
      <c r="B214" s="4" t="str">
        <f>"Führung on demand: Führen in Vertretung im ersten Einstiegsamt der Laufbahngruppe 2"</f>
        <v>Führung on demand: Führen in Vertretung im ersten Einstiegsamt der Laufbahngruppe 2</v>
      </c>
      <c r="C214" s="5">
        <v>45663</v>
      </c>
      <c r="D214" s="5">
        <v>45777</v>
      </c>
      <c r="E214" s="4" t="str">
        <f>"1x3 Tage, 3x2 Tage"</f>
        <v>1x3 Tage, 3x2 Tage</v>
      </c>
      <c r="F214" s="17">
        <v>2240</v>
      </c>
      <c r="G214" s="4"/>
      <c r="H214" s="4" t="s">
        <v>22</v>
      </c>
    </row>
    <row r="215" spans="1:8" x14ac:dyDescent="0.2">
      <c r="A215" s="4" t="str">
        <f>"01.135/001 a/2025"</f>
        <v>01.135/001 a/2025</v>
      </c>
      <c r="B215" s="4" t="str">
        <f t="shared" ref="B215:B228" si="7">"Führung -on -demand: Führen in Vertretung im ersten Einstiegsamt der Laufbahngruppe 2"</f>
        <v>Führung -on -demand: Führen in Vertretung im ersten Einstiegsamt der Laufbahngruppe 2</v>
      </c>
      <c r="C215" s="5">
        <v>45663</v>
      </c>
      <c r="D215" s="5">
        <v>45665</v>
      </c>
      <c r="E215" s="4"/>
      <c r="F215" s="17"/>
      <c r="G215" s="4" t="s">
        <v>18</v>
      </c>
      <c r="H215" s="4" t="s">
        <v>11</v>
      </c>
    </row>
    <row r="216" spans="1:8" x14ac:dyDescent="0.2">
      <c r="A216" s="4" t="str">
        <f>"01.135/001 b/2025"</f>
        <v>01.135/001 b/2025</v>
      </c>
      <c r="B216" s="4" t="str">
        <f t="shared" si="7"/>
        <v>Führung -on -demand: Führen in Vertretung im ersten Einstiegsamt der Laufbahngruppe 2</v>
      </c>
      <c r="C216" s="5">
        <v>45728</v>
      </c>
      <c r="D216" s="5">
        <v>45729</v>
      </c>
      <c r="E216" s="4"/>
      <c r="F216" s="17"/>
      <c r="G216" s="4" t="s">
        <v>18</v>
      </c>
      <c r="H216" s="4" t="s">
        <v>11</v>
      </c>
    </row>
    <row r="217" spans="1:8" x14ac:dyDescent="0.2">
      <c r="A217" s="4" t="str">
        <f>"01.135/001 c/2025"</f>
        <v>01.135/001 c/2025</v>
      </c>
      <c r="B217" s="4" t="str">
        <f t="shared" si="7"/>
        <v>Führung -on -demand: Führen in Vertretung im ersten Einstiegsamt der Laufbahngruppe 2</v>
      </c>
      <c r="C217" s="5">
        <v>45740</v>
      </c>
      <c r="D217" s="5">
        <v>45741</v>
      </c>
      <c r="E217" s="4"/>
      <c r="F217" s="17"/>
      <c r="G217" s="4" t="s">
        <v>18</v>
      </c>
      <c r="H217" s="4" t="s">
        <v>11</v>
      </c>
    </row>
    <row r="218" spans="1:8" x14ac:dyDescent="0.2">
      <c r="A218" s="4" t="str">
        <f>"01.135/001 d/2025"</f>
        <v>01.135/001 d/2025</v>
      </c>
      <c r="B218" s="4" t="str">
        <f t="shared" si="7"/>
        <v>Führung -on -demand: Führen in Vertretung im ersten Einstiegsamt der Laufbahngruppe 2</v>
      </c>
      <c r="C218" s="5">
        <v>45776</v>
      </c>
      <c r="D218" s="5">
        <v>45777</v>
      </c>
      <c r="E218" s="4"/>
      <c r="F218" s="17"/>
      <c r="G218" s="4" t="s">
        <v>18</v>
      </c>
      <c r="H218" s="4" t="s">
        <v>11</v>
      </c>
    </row>
    <row r="219" spans="1:8" x14ac:dyDescent="0.2">
      <c r="A219" s="4" t="str">
        <f>"01.135/002/2025"</f>
        <v>01.135/002/2025</v>
      </c>
      <c r="B219" s="4" t="str">
        <f t="shared" si="7"/>
        <v>Führung -on -demand: Führen in Vertretung im ersten Einstiegsamt der Laufbahngruppe 2</v>
      </c>
      <c r="C219" s="5">
        <v>45824</v>
      </c>
      <c r="D219" s="5">
        <v>46001</v>
      </c>
      <c r="E219" s="4" t="str">
        <f>"1x3 Tage, 3x2 Tage"</f>
        <v>1x3 Tage, 3x2 Tage</v>
      </c>
      <c r="F219" s="17">
        <v>2240</v>
      </c>
      <c r="G219" s="4"/>
      <c r="H219" s="4" t="s">
        <v>22</v>
      </c>
    </row>
    <row r="220" spans="1:8" x14ac:dyDescent="0.2">
      <c r="A220" s="4" t="str">
        <f>"01.135/002 a/2025"</f>
        <v>01.135/002 a/2025</v>
      </c>
      <c r="B220" s="4" t="str">
        <f t="shared" si="7"/>
        <v>Führung -on -demand: Führen in Vertretung im ersten Einstiegsamt der Laufbahngruppe 2</v>
      </c>
      <c r="C220" s="5">
        <v>45824</v>
      </c>
      <c r="D220" s="5">
        <v>45826</v>
      </c>
      <c r="E220" s="4"/>
      <c r="F220" s="17"/>
      <c r="G220" s="4" t="s">
        <v>18</v>
      </c>
      <c r="H220" s="4" t="s">
        <v>11</v>
      </c>
    </row>
    <row r="221" spans="1:8" x14ac:dyDescent="0.2">
      <c r="A221" s="4" t="str">
        <f>"01.135/002 b/2025"</f>
        <v>01.135/002 b/2025</v>
      </c>
      <c r="B221" s="4" t="str">
        <f t="shared" si="7"/>
        <v>Führung -on -demand: Führen in Vertretung im ersten Einstiegsamt der Laufbahngruppe 2</v>
      </c>
      <c r="C221" s="5">
        <v>45868</v>
      </c>
      <c r="D221" s="5">
        <v>45869</v>
      </c>
      <c r="E221" s="4"/>
      <c r="F221" s="17"/>
      <c r="G221" s="4" t="s">
        <v>18</v>
      </c>
      <c r="H221" s="4" t="s">
        <v>11</v>
      </c>
    </row>
    <row r="222" spans="1:8" x14ac:dyDescent="0.2">
      <c r="A222" s="4" t="str">
        <f>"01.135/002 c/2025"</f>
        <v>01.135/002 c/2025</v>
      </c>
      <c r="B222" s="4" t="str">
        <f t="shared" si="7"/>
        <v>Führung -on -demand: Führen in Vertretung im ersten Einstiegsamt der Laufbahngruppe 2</v>
      </c>
      <c r="C222" s="5">
        <v>45931</v>
      </c>
      <c r="D222" s="5">
        <v>45932</v>
      </c>
      <c r="E222" s="4"/>
      <c r="F222" s="17"/>
      <c r="G222" s="4" t="s">
        <v>18</v>
      </c>
      <c r="H222" s="4" t="s">
        <v>11</v>
      </c>
    </row>
    <row r="223" spans="1:8" x14ac:dyDescent="0.2">
      <c r="A223" s="4" t="str">
        <f>"01.135/002 d/2025"</f>
        <v>01.135/002 d/2025</v>
      </c>
      <c r="B223" s="4" t="str">
        <f t="shared" si="7"/>
        <v>Führung -on -demand: Führen in Vertretung im ersten Einstiegsamt der Laufbahngruppe 2</v>
      </c>
      <c r="C223" s="5">
        <v>46000</v>
      </c>
      <c r="D223" s="5">
        <v>46001</v>
      </c>
      <c r="E223" s="4"/>
      <c r="F223" s="17"/>
      <c r="G223" s="4" t="s">
        <v>18</v>
      </c>
      <c r="H223" s="4" t="s">
        <v>11</v>
      </c>
    </row>
    <row r="224" spans="1:8" x14ac:dyDescent="0.2">
      <c r="A224" s="4" t="str">
        <f>"01.135/003/2025"</f>
        <v>01.135/003/2025</v>
      </c>
      <c r="B224" s="4" t="str">
        <f t="shared" si="7"/>
        <v>Führung -on -demand: Führen in Vertretung im ersten Einstiegsamt der Laufbahngruppe 2</v>
      </c>
      <c r="C224" s="5">
        <v>45903</v>
      </c>
      <c r="D224" s="5">
        <v>45986</v>
      </c>
      <c r="E224" s="4" t="str">
        <f>"1x3 Tage, 3x2 Tage"</f>
        <v>1x3 Tage, 3x2 Tage</v>
      </c>
      <c r="F224" s="17">
        <v>2240</v>
      </c>
      <c r="G224" s="4"/>
      <c r="H224" s="4" t="s">
        <v>22</v>
      </c>
    </row>
    <row r="225" spans="1:8" x14ac:dyDescent="0.2">
      <c r="A225" s="4" t="str">
        <f>"01.135/003 a/2025"</f>
        <v>01.135/003 a/2025</v>
      </c>
      <c r="B225" s="4" t="str">
        <f t="shared" si="7"/>
        <v>Führung -on -demand: Führen in Vertretung im ersten Einstiegsamt der Laufbahngruppe 2</v>
      </c>
      <c r="C225" s="5">
        <v>45903</v>
      </c>
      <c r="D225" s="5">
        <v>45905</v>
      </c>
      <c r="E225" s="4"/>
      <c r="F225" s="17"/>
      <c r="G225" s="4" t="s">
        <v>18</v>
      </c>
      <c r="H225" s="4" t="s">
        <v>11</v>
      </c>
    </row>
    <row r="226" spans="1:8" x14ac:dyDescent="0.2">
      <c r="A226" s="4" t="str">
        <f>"01.135/003 b/2025"</f>
        <v>01.135/003 b/2025</v>
      </c>
      <c r="B226" s="4" t="str">
        <f t="shared" si="7"/>
        <v>Führung -on -demand: Führen in Vertretung im ersten Einstiegsamt der Laufbahngruppe 2</v>
      </c>
      <c r="C226" s="5">
        <v>45929</v>
      </c>
      <c r="D226" s="5">
        <v>45930</v>
      </c>
      <c r="E226" s="4"/>
      <c r="F226" s="17"/>
      <c r="G226" s="4" t="s">
        <v>18</v>
      </c>
      <c r="H226" s="4" t="s">
        <v>11</v>
      </c>
    </row>
    <row r="227" spans="1:8" x14ac:dyDescent="0.2">
      <c r="A227" s="4" t="str">
        <f>"01.135/003 c/2025"</f>
        <v>01.135/003 c/2025</v>
      </c>
      <c r="B227" s="4" t="str">
        <f t="shared" si="7"/>
        <v>Führung -on -demand: Führen in Vertretung im ersten Einstiegsamt der Laufbahngruppe 2</v>
      </c>
      <c r="C227" s="5">
        <v>45957</v>
      </c>
      <c r="D227" s="5">
        <v>45958</v>
      </c>
      <c r="E227" s="4"/>
      <c r="F227" s="17"/>
      <c r="G227" s="4" t="s">
        <v>18</v>
      </c>
      <c r="H227" s="4" t="s">
        <v>11</v>
      </c>
    </row>
    <row r="228" spans="1:8" x14ac:dyDescent="0.2">
      <c r="A228" s="4" t="str">
        <f>"01.135/003 d/2025"</f>
        <v>01.135/003 d/2025</v>
      </c>
      <c r="B228" s="4" t="str">
        <f t="shared" si="7"/>
        <v>Führung -on -demand: Führen in Vertretung im ersten Einstiegsamt der Laufbahngruppe 2</v>
      </c>
      <c r="C228" s="5">
        <v>45985</v>
      </c>
      <c r="D228" s="5">
        <v>45986</v>
      </c>
      <c r="E228" s="4"/>
      <c r="F228" s="17"/>
      <c r="G228" s="4" t="s">
        <v>18</v>
      </c>
      <c r="H228" s="4" t="s">
        <v>11</v>
      </c>
    </row>
    <row r="229" spans="1:8" x14ac:dyDescent="0.2">
      <c r="A229" s="4" t="str">
        <f>"01.210/001/2025"</f>
        <v>01.210/001/2025</v>
      </c>
      <c r="B229" s="4" t="str">
        <f>"Das Maß ist voll - Arbeitsrecht und Psychologie im Führungsalltag"</f>
        <v>Das Maß ist voll - Arbeitsrecht und Psychologie im Führungsalltag</v>
      </c>
      <c r="C229" s="5">
        <v>45698</v>
      </c>
      <c r="D229" s="5">
        <v>45700</v>
      </c>
      <c r="E229" s="4" t="str">
        <f>"3 Tage"</f>
        <v>3 Tage</v>
      </c>
      <c r="F229" s="17">
        <v>1160</v>
      </c>
      <c r="G229" s="4" t="s">
        <v>18</v>
      </c>
      <c r="H229" s="4" t="s">
        <v>11</v>
      </c>
    </row>
    <row r="230" spans="1:8" x14ac:dyDescent="0.2">
      <c r="A230" s="4" t="str">
        <f>"01.210/003/2025"</f>
        <v>01.210/003/2025</v>
      </c>
      <c r="B230" s="4" t="str">
        <f>"Das Maß ist voll - Arbeitsrecht und Psychologie im Führungsalltag"</f>
        <v>Das Maß ist voll - Arbeitsrecht und Psychologie im Führungsalltag</v>
      </c>
      <c r="C230" s="5">
        <v>45910</v>
      </c>
      <c r="D230" s="5">
        <v>45912</v>
      </c>
      <c r="E230" s="4" t="str">
        <f>"3 Tage"</f>
        <v>3 Tage</v>
      </c>
      <c r="F230" s="17">
        <v>1160</v>
      </c>
      <c r="G230" s="4" t="s">
        <v>18</v>
      </c>
      <c r="H230" s="4" t="s">
        <v>11</v>
      </c>
    </row>
    <row r="231" spans="1:8" x14ac:dyDescent="0.2">
      <c r="A231" s="4" t="str">
        <f>"01.235/001/2025"</f>
        <v>01.235/001/2025</v>
      </c>
      <c r="B231" s="4" t="str">
        <f>"Refreshment Führung: Neue Impulse für Führungskräfte mit langjähriger Erfahrung"</f>
        <v>Refreshment Führung: Neue Impulse für Führungskräfte mit langjähriger Erfahrung</v>
      </c>
      <c r="C231" s="5">
        <v>45981</v>
      </c>
      <c r="D231" s="5">
        <v>46001</v>
      </c>
      <c r="E231" s="4" t="str">
        <f>"2x2 Tage"</f>
        <v>2x2 Tage</v>
      </c>
      <c r="F231" s="17">
        <v>990</v>
      </c>
      <c r="G231" s="4"/>
      <c r="H231" s="4" t="s">
        <v>11</v>
      </c>
    </row>
    <row r="232" spans="1:8" x14ac:dyDescent="0.2">
      <c r="A232" s="4" t="str">
        <f>"01.235/001 a/2025"</f>
        <v>01.235/001 a/2025</v>
      </c>
      <c r="B232" s="4" t="str">
        <f>"Refreshment Führung: Neue Impulse für Führungskräfte mit langjähriger Erfahrung "</f>
        <v xml:space="preserve">Refreshment Führung: Neue Impulse für Führungskräfte mit langjähriger Erfahrung </v>
      </c>
      <c r="C232" s="5">
        <v>45981</v>
      </c>
      <c r="D232" s="5">
        <v>45982</v>
      </c>
      <c r="E232" s="4"/>
      <c r="F232" s="17"/>
      <c r="G232" s="4" t="s">
        <v>18</v>
      </c>
      <c r="H232" s="4" t="s">
        <v>11</v>
      </c>
    </row>
    <row r="233" spans="1:8" x14ac:dyDescent="0.2">
      <c r="A233" s="4" t="str">
        <f>"01.235/001 b/2025"</f>
        <v>01.235/001 b/2025</v>
      </c>
      <c r="B233" s="4" t="str">
        <f>"Refreshment Führung: Neue Impulse für Führungskräfte mit langjähriger Erfahrung "</f>
        <v xml:space="preserve">Refreshment Führung: Neue Impulse für Führungskräfte mit langjähriger Erfahrung </v>
      </c>
      <c r="C233" s="5">
        <v>46000</v>
      </c>
      <c r="D233" s="5">
        <v>46001</v>
      </c>
      <c r="E233" s="4"/>
      <c r="F233" s="17"/>
      <c r="G233" s="4" t="s">
        <v>18</v>
      </c>
      <c r="H233" s="4" t="s">
        <v>11</v>
      </c>
    </row>
    <row r="234" spans="1:8" x14ac:dyDescent="0.2">
      <c r="A234" s="4" t="str">
        <f>"01.240/001/2025"</f>
        <v>01.240/001/2025</v>
      </c>
      <c r="B234" s="4" t="str">
        <f>"Netzwerkarbeit als Schlüsselkompetenz in einer digitalen Arbeitswelt"</f>
        <v>Netzwerkarbeit als Schlüsselkompetenz in einer digitalen Arbeitswelt</v>
      </c>
      <c r="C234" s="5">
        <v>45966</v>
      </c>
      <c r="D234" s="5">
        <v>45967</v>
      </c>
      <c r="E234" s="4" t="str">
        <f>"2 Tage"</f>
        <v>2 Tage</v>
      </c>
      <c r="F234" s="17">
        <v>490</v>
      </c>
      <c r="G234" s="4" t="s">
        <v>18</v>
      </c>
      <c r="H234" s="4" t="s">
        <v>11</v>
      </c>
    </row>
    <row r="235" spans="1:8" x14ac:dyDescent="0.2">
      <c r="A235" s="4" t="str">
        <f>"01.250/001/2025"</f>
        <v>01.250/001/2025</v>
      </c>
      <c r="B235" s="4" t="str">
        <f>"Mit klaren Entscheidungen Profil gewinnen"</f>
        <v>Mit klaren Entscheidungen Profil gewinnen</v>
      </c>
      <c r="C235" s="5">
        <v>45691</v>
      </c>
      <c r="D235" s="5">
        <v>45693</v>
      </c>
      <c r="E235" s="4" t="str">
        <f>"3 Tage"</f>
        <v>3 Tage</v>
      </c>
      <c r="F235" s="17">
        <v>760</v>
      </c>
      <c r="G235" s="4" t="s">
        <v>18</v>
      </c>
      <c r="H235" s="4" t="s">
        <v>11</v>
      </c>
    </row>
    <row r="236" spans="1:8" x14ac:dyDescent="0.2">
      <c r="A236" s="4" t="str">
        <f>"01.255/001/2025"</f>
        <v>01.255/001/2025</v>
      </c>
      <c r="B236" s="4" t="str">
        <f>"Dilemmata und emotionale Zwickmühlen im Führungsalltag"</f>
        <v>Dilemmata und emotionale Zwickmühlen im Führungsalltag</v>
      </c>
      <c r="C236" s="5">
        <v>45825</v>
      </c>
      <c r="D236" s="5">
        <v>45826</v>
      </c>
      <c r="E236" s="4" t="str">
        <f>"2 Tage"</f>
        <v>2 Tage</v>
      </c>
      <c r="F236" s="17">
        <v>490</v>
      </c>
      <c r="G236" s="4" t="s">
        <v>18</v>
      </c>
      <c r="H236" s="4" t="s">
        <v>11</v>
      </c>
    </row>
    <row r="237" spans="1:8" x14ac:dyDescent="0.2">
      <c r="A237" s="4" t="str">
        <f>"01.260/001/2025"</f>
        <v>01.260/001/2025</v>
      </c>
      <c r="B237" s="4" t="str">
        <f>"Workshop: Frauen in Führung"</f>
        <v>Workshop: Frauen in Führung</v>
      </c>
      <c r="C237" s="5">
        <v>45684</v>
      </c>
      <c r="D237" s="5">
        <v>45685</v>
      </c>
      <c r="E237" s="4" t="str">
        <f>"2 Tage"</f>
        <v>2 Tage</v>
      </c>
      <c r="F237" s="17">
        <v>490</v>
      </c>
      <c r="G237" s="4" t="s">
        <v>18</v>
      </c>
      <c r="H237" s="4" t="s">
        <v>11</v>
      </c>
    </row>
    <row r="238" spans="1:8" x14ac:dyDescent="0.2">
      <c r="A238" s="4" t="str">
        <f>"01.260/002/2025"</f>
        <v>01.260/002/2025</v>
      </c>
      <c r="B238" s="4" t="str">
        <f>"Workshop: Frauen in Führung"</f>
        <v>Workshop: Frauen in Führung</v>
      </c>
      <c r="C238" s="5">
        <v>45995</v>
      </c>
      <c r="D238" s="5">
        <v>45996</v>
      </c>
      <c r="E238" s="4" t="str">
        <f>"2 Tage"</f>
        <v>2 Tage</v>
      </c>
      <c r="F238" s="17">
        <v>490</v>
      </c>
      <c r="G238" s="4" t="s">
        <v>18</v>
      </c>
      <c r="H238" s="4" t="s">
        <v>11</v>
      </c>
    </row>
    <row r="239" spans="1:8" x14ac:dyDescent="0.2">
      <c r="A239" s="4" t="str">
        <f>"01.270/001/2025"</f>
        <v>01.270/001/2025</v>
      </c>
      <c r="B239" s="4" t="str">
        <f>"Führungswerkstatt"</f>
        <v>Führungswerkstatt</v>
      </c>
      <c r="C239" s="5">
        <v>45701</v>
      </c>
      <c r="D239" s="5">
        <v>46283</v>
      </c>
      <c r="E239" s="4" t="str">
        <f>"1x2 Tage, 7x1 Tag"</f>
        <v>1x2 Tage, 7x1 Tag</v>
      </c>
      <c r="F239" s="17">
        <v>2790</v>
      </c>
      <c r="G239" s="4"/>
      <c r="H239" s="4" t="s">
        <v>22</v>
      </c>
    </row>
    <row r="240" spans="1:8" x14ac:dyDescent="0.2">
      <c r="A240" s="4" t="str">
        <f>"01.270/001 a/2025"</f>
        <v>01.270/001 a/2025</v>
      </c>
      <c r="B240" s="4" t="str">
        <f>"Führungswerkstatt"</f>
        <v>Führungswerkstatt</v>
      </c>
      <c r="C240" s="5">
        <v>45701</v>
      </c>
      <c r="D240" s="5">
        <v>45702</v>
      </c>
      <c r="E240" s="4"/>
      <c r="F240" s="17"/>
      <c r="G240" s="4" t="s">
        <v>18</v>
      </c>
      <c r="H240" s="4" t="s">
        <v>11</v>
      </c>
    </row>
    <row r="241" spans="1:8" x14ac:dyDescent="0.2">
      <c r="A241" s="4" t="str">
        <f>"01.270/001 b/2025"</f>
        <v>01.270/001 b/2025</v>
      </c>
      <c r="B241" s="4" t="str">
        <f>"Führungswerkstatt"</f>
        <v>Führungswerkstatt</v>
      </c>
      <c r="C241" s="5">
        <v>45748</v>
      </c>
      <c r="D241" s="5">
        <v>45748</v>
      </c>
      <c r="E241" s="4"/>
      <c r="F241" s="17"/>
      <c r="G241" s="4" t="s">
        <v>18</v>
      </c>
      <c r="H241" s="4" t="s">
        <v>11</v>
      </c>
    </row>
    <row r="242" spans="1:8" x14ac:dyDescent="0.2">
      <c r="A242" s="4" t="str">
        <f>"01.270/001 c/2025"</f>
        <v>01.270/001 c/2025</v>
      </c>
      <c r="B242" s="4" t="str">
        <f t="shared" ref="B242:B247" si="8">"Führungswerkstatt "</f>
        <v xml:space="preserve">Führungswerkstatt </v>
      </c>
      <c r="C242" s="5">
        <v>45863</v>
      </c>
      <c r="D242" s="5">
        <v>45863</v>
      </c>
      <c r="E242" s="4"/>
      <c r="F242" s="17"/>
      <c r="G242" s="4" t="s">
        <v>18</v>
      </c>
      <c r="H242" s="4" t="s">
        <v>11</v>
      </c>
    </row>
    <row r="243" spans="1:8" x14ac:dyDescent="0.2">
      <c r="A243" s="4" t="str">
        <f>"01.270/001 d/2025"</f>
        <v>01.270/001 d/2025</v>
      </c>
      <c r="B243" s="4" t="str">
        <f t="shared" si="8"/>
        <v xml:space="preserve">Führungswerkstatt </v>
      </c>
      <c r="C243" s="5">
        <v>45946</v>
      </c>
      <c r="D243" s="5">
        <v>45946</v>
      </c>
      <c r="E243" s="4"/>
      <c r="F243" s="17"/>
      <c r="G243" s="4" t="s">
        <v>18</v>
      </c>
      <c r="H243" s="4" t="s">
        <v>11</v>
      </c>
    </row>
    <row r="244" spans="1:8" x14ac:dyDescent="0.2">
      <c r="A244" s="4" t="str">
        <f>"01.270/001 e/2025"</f>
        <v>01.270/001 e/2025</v>
      </c>
      <c r="B244" s="4" t="str">
        <f t="shared" si="8"/>
        <v xml:space="preserve">Führungswerkstatt </v>
      </c>
      <c r="C244" s="5">
        <v>46056</v>
      </c>
      <c r="D244" s="5">
        <v>46056</v>
      </c>
      <c r="E244" s="4"/>
      <c r="F244" s="17"/>
      <c r="G244" s="4" t="s">
        <v>18</v>
      </c>
      <c r="H244" s="4" t="s">
        <v>11</v>
      </c>
    </row>
    <row r="245" spans="1:8" x14ac:dyDescent="0.2">
      <c r="A245" s="4" t="str">
        <f>"01.270/001 f/2025"</f>
        <v>01.270/001 f/2025</v>
      </c>
      <c r="B245" s="4" t="str">
        <f t="shared" si="8"/>
        <v xml:space="preserve">Führungswerkstatt </v>
      </c>
      <c r="C245" s="5">
        <v>46133</v>
      </c>
      <c r="D245" s="5">
        <v>46133</v>
      </c>
      <c r="E245" s="4"/>
      <c r="F245" s="17"/>
      <c r="G245" s="4" t="s">
        <v>18</v>
      </c>
      <c r="H245" s="4" t="s">
        <v>11</v>
      </c>
    </row>
    <row r="246" spans="1:8" x14ac:dyDescent="0.2">
      <c r="A246" s="4" t="str">
        <f>"01.270/001 g/2025"</f>
        <v>01.270/001 g/2025</v>
      </c>
      <c r="B246" s="4" t="str">
        <f t="shared" si="8"/>
        <v xml:space="preserve">Führungswerkstatt </v>
      </c>
      <c r="C246" s="5">
        <v>46206</v>
      </c>
      <c r="D246" s="5">
        <v>46206</v>
      </c>
      <c r="E246" s="4"/>
      <c r="F246" s="17"/>
      <c r="G246" s="4" t="s">
        <v>18</v>
      </c>
      <c r="H246" s="4" t="s">
        <v>11</v>
      </c>
    </row>
    <row r="247" spans="1:8" x14ac:dyDescent="0.2">
      <c r="A247" s="4" t="str">
        <f>"01.270/001 h/2025"</f>
        <v>01.270/001 h/2025</v>
      </c>
      <c r="B247" s="4" t="str">
        <f t="shared" si="8"/>
        <v xml:space="preserve">Führungswerkstatt </v>
      </c>
      <c r="C247" s="5">
        <v>46283</v>
      </c>
      <c r="D247" s="5">
        <v>46283</v>
      </c>
      <c r="E247" s="4"/>
      <c r="F247" s="17"/>
      <c r="G247" s="4" t="s">
        <v>18</v>
      </c>
      <c r="H247" s="4" t="s">
        <v>11</v>
      </c>
    </row>
    <row r="248" spans="1:8" x14ac:dyDescent="0.2">
      <c r="A248" s="4" t="str">
        <f>"01.270/002/2025"</f>
        <v>01.270/002/2025</v>
      </c>
      <c r="B248" s="4" t="str">
        <f>"Führungswerkstatt"</f>
        <v>Führungswerkstatt</v>
      </c>
      <c r="C248" s="5">
        <v>45831</v>
      </c>
      <c r="D248" s="5">
        <v>46430</v>
      </c>
      <c r="E248" s="4" t="str">
        <f>"1x2 Tage, 7x1 Tag"</f>
        <v>1x2 Tage, 7x1 Tag</v>
      </c>
      <c r="F248" s="17">
        <v>2790</v>
      </c>
      <c r="G248" s="4"/>
      <c r="H248" s="4" t="s">
        <v>22</v>
      </c>
    </row>
    <row r="249" spans="1:8" x14ac:dyDescent="0.2">
      <c r="A249" s="4" t="str">
        <f>"01.270/002 a/2025"</f>
        <v>01.270/002 a/2025</v>
      </c>
      <c r="B249" s="4" t="str">
        <f>"Führungswerkstatt"</f>
        <v>Führungswerkstatt</v>
      </c>
      <c r="C249" s="5">
        <v>45831</v>
      </c>
      <c r="D249" s="5">
        <v>45832</v>
      </c>
      <c r="E249" s="4"/>
      <c r="F249" s="17"/>
      <c r="G249" s="4" t="s">
        <v>18</v>
      </c>
      <c r="H249" s="4" t="s">
        <v>11</v>
      </c>
    </row>
    <row r="250" spans="1:8" x14ac:dyDescent="0.2">
      <c r="A250" s="4" t="str">
        <f>"01.270/002 b/2025"</f>
        <v>01.270/002 b/2025</v>
      </c>
      <c r="B250" s="4" t="str">
        <f>"Führungswerkstatt"</f>
        <v>Führungswerkstatt</v>
      </c>
      <c r="C250" s="5">
        <v>45940</v>
      </c>
      <c r="D250" s="5">
        <v>45940</v>
      </c>
      <c r="E250" s="4"/>
      <c r="F250" s="17"/>
      <c r="G250" s="4" t="s">
        <v>18</v>
      </c>
      <c r="H250" s="4" t="s">
        <v>11</v>
      </c>
    </row>
    <row r="251" spans="1:8" x14ac:dyDescent="0.2">
      <c r="A251" s="4" t="str">
        <f>"01.270/002 c/2025"</f>
        <v>01.270/002 c/2025</v>
      </c>
      <c r="B251" s="4" t="str">
        <f t="shared" ref="B251:B256" si="9">"Führungswerkstatt "</f>
        <v xml:space="preserve">Führungswerkstatt </v>
      </c>
      <c r="C251" s="5">
        <v>46027</v>
      </c>
      <c r="D251" s="5">
        <v>46027</v>
      </c>
      <c r="E251" s="4"/>
      <c r="F251" s="17"/>
      <c r="G251" s="4" t="s">
        <v>18</v>
      </c>
      <c r="H251" s="4" t="s">
        <v>11</v>
      </c>
    </row>
    <row r="252" spans="1:8" x14ac:dyDescent="0.2">
      <c r="A252" s="4" t="str">
        <f>"01.270/002 d/2025"</f>
        <v>01.270/002 d/2025</v>
      </c>
      <c r="B252" s="4" t="str">
        <f t="shared" si="9"/>
        <v xml:space="preserve">Führungswerkstatt </v>
      </c>
      <c r="C252" s="5">
        <v>46106</v>
      </c>
      <c r="D252" s="5">
        <v>46106</v>
      </c>
      <c r="E252" s="4"/>
      <c r="F252" s="17"/>
      <c r="G252" s="4" t="s">
        <v>18</v>
      </c>
      <c r="H252" s="4" t="s">
        <v>11</v>
      </c>
    </row>
    <row r="253" spans="1:8" x14ac:dyDescent="0.2">
      <c r="A253" s="4" t="str">
        <f>"01.270/002 e/2025"</f>
        <v>01.270/002 e/2025</v>
      </c>
      <c r="B253" s="4" t="str">
        <f t="shared" si="9"/>
        <v xml:space="preserve">Führungswerkstatt </v>
      </c>
      <c r="C253" s="5">
        <v>46185</v>
      </c>
      <c r="D253" s="5">
        <v>46185</v>
      </c>
      <c r="E253" s="4"/>
      <c r="F253" s="17"/>
      <c r="G253" s="4" t="s">
        <v>18</v>
      </c>
      <c r="H253" s="4" t="s">
        <v>11</v>
      </c>
    </row>
    <row r="254" spans="1:8" x14ac:dyDescent="0.2">
      <c r="A254" s="4" t="str">
        <f>"01.270/002 f/2025"</f>
        <v>01.270/002 f/2025</v>
      </c>
      <c r="B254" s="4" t="str">
        <f t="shared" si="9"/>
        <v xml:space="preserve">Führungswerkstatt </v>
      </c>
      <c r="C254" s="5">
        <v>46272</v>
      </c>
      <c r="D254" s="5">
        <v>46272</v>
      </c>
      <c r="E254" s="4"/>
      <c r="F254" s="17"/>
      <c r="G254" s="4" t="s">
        <v>18</v>
      </c>
      <c r="H254" s="4" t="s">
        <v>11</v>
      </c>
    </row>
    <row r="255" spans="1:8" x14ac:dyDescent="0.2">
      <c r="A255" s="4" t="str">
        <f>"01.270/002 g/2025"</f>
        <v>01.270/002 g/2025</v>
      </c>
      <c r="B255" s="4" t="str">
        <f t="shared" si="9"/>
        <v xml:space="preserve">Führungswerkstatt </v>
      </c>
      <c r="C255" s="5">
        <v>46353</v>
      </c>
      <c r="D255" s="5">
        <v>46353</v>
      </c>
      <c r="E255" s="4"/>
      <c r="F255" s="17"/>
      <c r="G255" s="4" t="s">
        <v>18</v>
      </c>
      <c r="H255" s="4" t="s">
        <v>11</v>
      </c>
    </row>
    <row r="256" spans="1:8" x14ac:dyDescent="0.2">
      <c r="A256" s="4" t="str">
        <f>"01.270/002 h/2025"</f>
        <v>01.270/002 h/2025</v>
      </c>
      <c r="B256" s="4" t="str">
        <f t="shared" si="9"/>
        <v xml:space="preserve">Führungswerkstatt </v>
      </c>
      <c r="C256" s="5">
        <v>46430</v>
      </c>
      <c r="D256" s="5">
        <v>46430</v>
      </c>
      <c r="E256" s="4"/>
      <c r="F256" s="17"/>
      <c r="G256" s="4" t="s">
        <v>18</v>
      </c>
      <c r="H256" s="4" t="s">
        <v>11</v>
      </c>
    </row>
    <row r="257" spans="1:8" x14ac:dyDescent="0.2">
      <c r="A257" s="4" t="str">
        <f>"01.270/003/2025"</f>
        <v>01.270/003/2025</v>
      </c>
      <c r="B257" s="4" t="str">
        <f>"Führungswerkstatt"</f>
        <v>Führungswerkstatt</v>
      </c>
      <c r="C257" s="5">
        <v>45918</v>
      </c>
      <c r="D257" s="5">
        <v>46507</v>
      </c>
      <c r="E257" s="4" t="str">
        <f>"1x2 Tage, 7x1 Tag"</f>
        <v>1x2 Tage, 7x1 Tag</v>
      </c>
      <c r="F257" s="17">
        <v>2790</v>
      </c>
      <c r="G257" s="4"/>
      <c r="H257" s="4" t="s">
        <v>22</v>
      </c>
    </row>
    <row r="258" spans="1:8" x14ac:dyDescent="0.2">
      <c r="A258" s="4" t="str">
        <f>"01.270/003 a/2025"</f>
        <v>01.270/003 a/2025</v>
      </c>
      <c r="B258" s="4" t="str">
        <f>"Führungswerkstatt"</f>
        <v>Führungswerkstatt</v>
      </c>
      <c r="C258" s="5">
        <v>45918</v>
      </c>
      <c r="D258" s="5">
        <v>45919</v>
      </c>
      <c r="E258" s="4"/>
      <c r="F258" s="17"/>
      <c r="G258" s="4" t="s">
        <v>18</v>
      </c>
      <c r="H258" s="4" t="s">
        <v>11</v>
      </c>
    </row>
    <row r="259" spans="1:8" x14ac:dyDescent="0.2">
      <c r="A259" s="4" t="str">
        <f>"01.270/003 b/2025"</f>
        <v>01.270/003 b/2025</v>
      </c>
      <c r="B259" s="4" t="str">
        <f>"Führungswerkstatt"</f>
        <v>Führungswerkstatt</v>
      </c>
      <c r="C259" s="5">
        <v>46003</v>
      </c>
      <c r="D259" s="5">
        <v>46003</v>
      </c>
      <c r="E259" s="4"/>
      <c r="F259" s="17"/>
      <c r="G259" s="4" t="s">
        <v>18</v>
      </c>
      <c r="H259" s="4" t="s">
        <v>11</v>
      </c>
    </row>
    <row r="260" spans="1:8" x14ac:dyDescent="0.2">
      <c r="A260" s="4" t="str">
        <f>"01.270/003 c/2025"</f>
        <v>01.270/003 c/2025</v>
      </c>
      <c r="B260" s="4" t="str">
        <f t="shared" ref="B260:B265" si="10">"Führungswerkstatt "</f>
        <v xml:space="preserve">Führungswerkstatt </v>
      </c>
      <c r="C260" s="5">
        <v>46059</v>
      </c>
      <c r="D260" s="5">
        <v>46059</v>
      </c>
      <c r="E260" s="4"/>
      <c r="F260" s="17"/>
      <c r="G260" s="4" t="s">
        <v>18</v>
      </c>
      <c r="H260" s="4" t="s">
        <v>11</v>
      </c>
    </row>
    <row r="261" spans="1:8" x14ac:dyDescent="0.2">
      <c r="A261" s="4" t="str">
        <f>"01.270/003 d/2025"</f>
        <v>01.270/003 d/2025</v>
      </c>
      <c r="B261" s="4" t="str">
        <f t="shared" si="10"/>
        <v xml:space="preserve">Führungswerkstatt </v>
      </c>
      <c r="C261" s="5">
        <v>46150</v>
      </c>
      <c r="D261" s="5">
        <v>46150</v>
      </c>
      <c r="E261" s="4"/>
      <c r="F261" s="17"/>
      <c r="G261" s="4" t="s">
        <v>18</v>
      </c>
      <c r="H261" s="4" t="s">
        <v>11</v>
      </c>
    </row>
    <row r="262" spans="1:8" x14ac:dyDescent="0.2">
      <c r="A262" s="4" t="str">
        <f>"01.270/003 e/2025"</f>
        <v>01.270/003 e/2025</v>
      </c>
      <c r="B262" s="4" t="str">
        <f t="shared" si="10"/>
        <v xml:space="preserve">Führungswerkstatt </v>
      </c>
      <c r="C262" s="5">
        <v>46269</v>
      </c>
      <c r="D262" s="5">
        <v>46269</v>
      </c>
      <c r="E262" s="4"/>
      <c r="F262" s="17"/>
      <c r="G262" s="4" t="s">
        <v>18</v>
      </c>
      <c r="H262" s="4" t="s">
        <v>11</v>
      </c>
    </row>
    <row r="263" spans="1:8" x14ac:dyDescent="0.2">
      <c r="A263" s="4" t="str">
        <f>"01.270/003 f/2025"</f>
        <v>01.270/003 f/2025</v>
      </c>
      <c r="B263" s="4" t="str">
        <f t="shared" si="10"/>
        <v xml:space="preserve">Führungswerkstatt </v>
      </c>
      <c r="C263" s="5">
        <v>46371</v>
      </c>
      <c r="D263" s="5">
        <v>46371</v>
      </c>
      <c r="E263" s="4"/>
      <c r="F263" s="17"/>
      <c r="G263" s="4" t="s">
        <v>18</v>
      </c>
      <c r="H263" s="4" t="s">
        <v>11</v>
      </c>
    </row>
    <row r="264" spans="1:8" x14ac:dyDescent="0.2">
      <c r="A264" s="4" t="str">
        <f>"01.270/003 g/2025"</f>
        <v>01.270/003 g/2025</v>
      </c>
      <c r="B264" s="4" t="str">
        <f t="shared" si="10"/>
        <v xml:space="preserve">Führungswerkstatt </v>
      </c>
      <c r="C264" s="5">
        <v>46444</v>
      </c>
      <c r="D264" s="5">
        <v>46444</v>
      </c>
      <c r="E264" s="4"/>
      <c r="F264" s="17"/>
      <c r="G264" s="4" t="s">
        <v>18</v>
      </c>
      <c r="H264" s="4" t="s">
        <v>11</v>
      </c>
    </row>
    <row r="265" spans="1:8" x14ac:dyDescent="0.2">
      <c r="A265" s="4" t="str">
        <f>"01.270/003 h/2025"</f>
        <v>01.270/003 h/2025</v>
      </c>
      <c r="B265" s="4" t="str">
        <f t="shared" si="10"/>
        <v xml:space="preserve">Führungswerkstatt </v>
      </c>
      <c r="C265" s="5">
        <v>46507</v>
      </c>
      <c r="D265" s="5">
        <v>46507</v>
      </c>
      <c r="E265" s="4"/>
      <c r="F265" s="17"/>
      <c r="G265" s="4" t="s">
        <v>18</v>
      </c>
      <c r="H265" s="4" t="s">
        <v>11</v>
      </c>
    </row>
    <row r="266" spans="1:8" x14ac:dyDescent="0.2">
      <c r="A266" s="4" t="str">
        <f>"01.280/001/2025"</f>
        <v>01.280/001/2025</v>
      </c>
      <c r="B266" s="4" t="str">
        <f>"Themenwerkstatt: Agile Transformation - agile Führungskompetenz"</f>
        <v>Themenwerkstatt: Agile Transformation - agile Führungskompetenz</v>
      </c>
      <c r="C266" s="5">
        <v>45726</v>
      </c>
      <c r="D266" s="5">
        <v>45909</v>
      </c>
      <c r="E266" s="4" t="str">
        <f>"4x1 Tag"</f>
        <v>4x1 Tag</v>
      </c>
      <c r="F266" s="17">
        <v>1260</v>
      </c>
      <c r="G266" s="4"/>
      <c r="H266" s="4" t="s">
        <v>22</v>
      </c>
    </row>
    <row r="267" spans="1:8" x14ac:dyDescent="0.2">
      <c r="A267" s="4" t="str">
        <f>"01.280/001 a/2025"</f>
        <v>01.280/001 a/2025</v>
      </c>
      <c r="B267" s="4" t="str">
        <f>"Themenwerkstatt: Agile Transformation - agile Führungskompetenz"</f>
        <v>Themenwerkstatt: Agile Transformation - agile Führungskompetenz</v>
      </c>
      <c r="C267" s="5">
        <v>45726</v>
      </c>
      <c r="D267" s="5">
        <v>45726</v>
      </c>
      <c r="E267" s="4"/>
      <c r="F267" s="17"/>
      <c r="G267" s="4" t="s">
        <v>18</v>
      </c>
      <c r="H267" s="4" t="s">
        <v>11</v>
      </c>
    </row>
    <row r="268" spans="1:8" x14ac:dyDescent="0.2">
      <c r="A268" s="4" t="str">
        <f>"01.280/001 b/2025"</f>
        <v>01.280/001 b/2025</v>
      </c>
      <c r="B268" s="4" t="str">
        <f>"Themenwerkstatt: Agile Transformation - agile Führungskompetenz"</f>
        <v>Themenwerkstatt: Agile Transformation - agile Führungskompetenz</v>
      </c>
      <c r="C268" s="5">
        <v>45786</v>
      </c>
      <c r="D268" s="5">
        <v>45786</v>
      </c>
      <c r="E268" s="4"/>
      <c r="F268" s="17"/>
      <c r="G268" s="4" t="s">
        <v>18</v>
      </c>
      <c r="H268" s="4" t="s">
        <v>11</v>
      </c>
    </row>
    <row r="269" spans="1:8" x14ac:dyDescent="0.2">
      <c r="A269" s="4" t="str">
        <f>"01.280/001 c/2025"</f>
        <v>01.280/001 c/2025</v>
      </c>
      <c r="B269" s="4" t="str">
        <f>"Themenwerkstatt: Agile Transformation - agile Führungskompetenz"</f>
        <v>Themenwerkstatt: Agile Transformation - agile Führungskompetenz</v>
      </c>
      <c r="C269" s="5">
        <v>45841</v>
      </c>
      <c r="D269" s="5">
        <v>45841</v>
      </c>
      <c r="E269" s="4"/>
      <c r="F269" s="17"/>
      <c r="G269" s="4" t="s">
        <v>18</v>
      </c>
      <c r="H269" s="4" t="s">
        <v>11</v>
      </c>
    </row>
    <row r="270" spans="1:8" x14ac:dyDescent="0.2">
      <c r="A270" s="4" t="str">
        <f>"01.280/001 d/2025"</f>
        <v>01.280/001 d/2025</v>
      </c>
      <c r="B270" s="4" t="str">
        <f>"Themenwerkstatt: Agile Transformation - agile Führungskompetenz"</f>
        <v>Themenwerkstatt: Agile Transformation - agile Führungskompetenz</v>
      </c>
      <c r="C270" s="5">
        <v>45909</v>
      </c>
      <c r="D270" s="5">
        <v>45909</v>
      </c>
      <c r="E270" s="4"/>
      <c r="F270" s="17"/>
      <c r="G270" s="4" t="s">
        <v>18</v>
      </c>
      <c r="H270" s="4" t="s">
        <v>11</v>
      </c>
    </row>
    <row r="271" spans="1:8" x14ac:dyDescent="0.2">
      <c r="A271" s="4" t="str">
        <f>"01.282/001/2025"</f>
        <v>01.282/001/2025</v>
      </c>
      <c r="B271" s="4" t="str">
        <f>"Themenwerkstatt: Führungsbooster - Reflexion der Führungspraxis"</f>
        <v>Themenwerkstatt: Führungsbooster - Reflexion der Führungspraxis</v>
      </c>
      <c r="C271" s="5">
        <v>45737</v>
      </c>
      <c r="D271" s="5">
        <v>45915</v>
      </c>
      <c r="E271" s="4" t="str">
        <f>"4x1 Tag"</f>
        <v>4x1 Tag</v>
      </c>
      <c r="F271" s="17">
        <v>1260</v>
      </c>
      <c r="G271" s="4"/>
      <c r="H271" s="4" t="s">
        <v>22</v>
      </c>
    </row>
    <row r="272" spans="1:8" x14ac:dyDescent="0.2">
      <c r="A272" s="4" t="str">
        <f>"01.282/001 a/2025"</f>
        <v>01.282/001 a/2025</v>
      </c>
      <c r="B272" s="4" t="str">
        <f>"Themenwerkstatt: Führungsbooster - Reflexion eingefahrener Führungspraxis"</f>
        <v>Themenwerkstatt: Führungsbooster - Reflexion eingefahrener Führungspraxis</v>
      </c>
      <c r="C272" s="5">
        <v>45737</v>
      </c>
      <c r="D272" s="5">
        <v>45737</v>
      </c>
      <c r="E272" s="4"/>
      <c r="F272" s="17"/>
      <c r="G272" s="4" t="s">
        <v>18</v>
      </c>
      <c r="H272" s="4" t="s">
        <v>11</v>
      </c>
    </row>
    <row r="273" spans="1:8" x14ac:dyDescent="0.2">
      <c r="A273" s="4" t="str">
        <f>"01.282/001 b/2025"</f>
        <v>01.282/001 b/2025</v>
      </c>
      <c r="B273" s="4" t="str">
        <f>"Themenwerkstatt: Führungsbooster - Reflexion eingefahrener Führungspraxis"</f>
        <v>Themenwerkstatt: Führungsbooster - Reflexion eingefahrener Führungspraxis</v>
      </c>
      <c r="C273" s="5">
        <v>45791</v>
      </c>
      <c r="D273" s="5">
        <v>45791</v>
      </c>
      <c r="E273" s="4"/>
      <c r="F273" s="17"/>
      <c r="G273" s="4" t="s">
        <v>18</v>
      </c>
      <c r="H273" s="4" t="s">
        <v>11</v>
      </c>
    </row>
    <row r="274" spans="1:8" x14ac:dyDescent="0.2">
      <c r="A274" s="4" t="str">
        <f>"01.282/001 c/2025"</f>
        <v>01.282/001 c/2025</v>
      </c>
      <c r="B274" s="4" t="str">
        <f>"Themenwerkstatt: Führungsbooster - Reflexion eingefahrener Führungspraxis"</f>
        <v>Themenwerkstatt: Führungsbooster - Reflexion eingefahrener Führungspraxis</v>
      </c>
      <c r="C274" s="5">
        <v>45856</v>
      </c>
      <c r="D274" s="5">
        <v>45856</v>
      </c>
      <c r="E274" s="4"/>
      <c r="F274" s="17"/>
      <c r="G274" s="4" t="s">
        <v>18</v>
      </c>
      <c r="H274" s="4" t="s">
        <v>11</v>
      </c>
    </row>
    <row r="275" spans="1:8" x14ac:dyDescent="0.2">
      <c r="A275" s="4" t="str">
        <f>"01.282/001 d/2025"</f>
        <v>01.282/001 d/2025</v>
      </c>
      <c r="B275" s="4" t="str">
        <f>"Themenwerkstatt: Führungsbooster - Reflexion eingefahrener Führungspraxis"</f>
        <v>Themenwerkstatt: Führungsbooster - Reflexion eingefahrener Führungspraxis</v>
      </c>
      <c r="C275" s="5">
        <v>45915</v>
      </c>
      <c r="D275" s="5">
        <v>45915</v>
      </c>
      <c r="E275" s="4"/>
      <c r="F275" s="17"/>
      <c r="G275" s="4" t="s">
        <v>18</v>
      </c>
      <c r="H275" s="4" t="s">
        <v>11</v>
      </c>
    </row>
    <row r="276" spans="1:8" x14ac:dyDescent="0.2">
      <c r="A276" s="4" t="str">
        <f>"01.284/001/2025"</f>
        <v>01.284/001/2025</v>
      </c>
      <c r="B276" s="4" t="str">
        <f>"Themenwerkstatt: Führungskommunikation"</f>
        <v>Themenwerkstatt: Führungskommunikation</v>
      </c>
      <c r="C276" s="5">
        <v>45747</v>
      </c>
      <c r="D276" s="5">
        <v>45946</v>
      </c>
      <c r="E276" s="4" t="str">
        <f>"4x1 Tag"</f>
        <v>4x1 Tag</v>
      </c>
      <c r="F276" s="17">
        <v>1260</v>
      </c>
      <c r="G276" s="4"/>
      <c r="H276" s="4" t="s">
        <v>22</v>
      </c>
    </row>
    <row r="277" spans="1:8" x14ac:dyDescent="0.2">
      <c r="A277" s="4" t="str">
        <f>"01.284/001 a/2025"</f>
        <v>01.284/001 a/2025</v>
      </c>
      <c r="B277" s="4" t="str">
        <f>"Themenwerkstatt: Führungskommunikation - Fokus Kommunikation"</f>
        <v>Themenwerkstatt: Führungskommunikation - Fokus Kommunikation</v>
      </c>
      <c r="C277" s="5">
        <v>45747</v>
      </c>
      <c r="D277" s="5">
        <v>45747</v>
      </c>
      <c r="E277" s="4"/>
      <c r="F277" s="17"/>
      <c r="G277" s="4" t="s">
        <v>18</v>
      </c>
      <c r="H277" s="4" t="s">
        <v>11</v>
      </c>
    </row>
    <row r="278" spans="1:8" x14ac:dyDescent="0.2">
      <c r="A278" s="4" t="str">
        <f>"01.284/001 b/2025"</f>
        <v>01.284/001 b/2025</v>
      </c>
      <c r="B278" s="4" t="str">
        <f>"Themenwerkstatt: Führungskommunikation - Fokus Kommunikation"</f>
        <v>Themenwerkstatt: Führungskommunikation - Fokus Kommunikation</v>
      </c>
      <c r="C278" s="5">
        <v>45814</v>
      </c>
      <c r="D278" s="5">
        <v>45814</v>
      </c>
      <c r="E278" s="4"/>
      <c r="F278" s="17"/>
      <c r="G278" s="4" t="s">
        <v>18</v>
      </c>
      <c r="H278" s="4" t="s">
        <v>11</v>
      </c>
    </row>
    <row r="279" spans="1:8" x14ac:dyDescent="0.2">
      <c r="A279" s="4" t="str">
        <f>"01.284/001 c/2025"</f>
        <v>01.284/001 c/2025</v>
      </c>
      <c r="B279" s="4" t="str">
        <f>"Themenwerkstatt: Führungskommunikation - Fokus Kommunikation"</f>
        <v>Themenwerkstatt: Führungskommunikation - Fokus Kommunikation</v>
      </c>
      <c r="C279" s="5">
        <v>45870</v>
      </c>
      <c r="D279" s="5">
        <v>45870</v>
      </c>
      <c r="E279" s="4"/>
      <c r="F279" s="17"/>
      <c r="G279" s="4" t="s">
        <v>18</v>
      </c>
      <c r="H279" s="4" t="s">
        <v>11</v>
      </c>
    </row>
    <row r="280" spans="1:8" x14ac:dyDescent="0.2">
      <c r="A280" s="4" t="str">
        <f>"01.284/001 d/2025"</f>
        <v>01.284/001 d/2025</v>
      </c>
      <c r="B280" s="4" t="str">
        <f>"Themenwerkstatt: Führungskommunikation - Fokus Kommunikation"</f>
        <v>Themenwerkstatt: Führungskommunikation - Fokus Kommunikation</v>
      </c>
      <c r="C280" s="5">
        <v>45946</v>
      </c>
      <c r="D280" s="5">
        <v>45946</v>
      </c>
      <c r="E280" s="4"/>
      <c r="F280" s="17"/>
      <c r="G280" s="4" t="s">
        <v>18</v>
      </c>
      <c r="H280" s="4" t="s">
        <v>11</v>
      </c>
    </row>
    <row r="281" spans="1:8" x14ac:dyDescent="0.2">
      <c r="A281" s="4" t="str">
        <f>"01.286/001/2025"</f>
        <v>01.286/001/2025</v>
      </c>
      <c r="B281" s="4" t="str">
        <f>"Themenwerkstatt: Von der Problem- in die Lösungsorientierung"</f>
        <v>Themenwerkstatt: Von der Problem- in die Lösungsorientierung</v>
      </c>
      <c r="C281" s="5">
        <v>45800</v>
      </c>
      <c r="D281" s="5">
        <v>45992</v>
      </c>
      <c r="E281" s="4" t="str">
        <f>"4x1 Tag"</f>
        <v>4x1 Tag</v>
      </c>
      <c r="F281" s="17">
        <v>1260</v>
      </c>
      <c r="G281" s="4"/>
      <c r="H281" s="4" t="s">
        <v>22</v>
      </c>
    </row>
    <row r="282" spans="1:8" x14ac:dyDescent="0.2">
      <c r="A282" s="4" t="str">
        <f>"01.286/001 a/2025"</f>
        <v>01.286/001 a/2025</v>
      </c>
      <c r="B282" s="4" t="str">
        <f>"Themenwerkstatt: Von der Problem- in die Lösungsorientierung mit Fokus Lösungsorientierung"</f>
        <v>Themenwerkstatt: Von der Problem- in die Lösungsorientierung mit Fokus Lösungsorientierung</v>
      </c>
      <c r="C282" s="5">
        <v>45800</v>
      </c>
      <c r="D282" s="5">
        <v>45800</v>
      </c>
      <c r="E282" s="4"/>
      <c r="F282" s="17"/>
      <c r="G282" s="4" t="s">
        <v>18</v>
      </c>
      <c r="H282" s="4" t="s">
        <v>11</v>
      </c>
    </row>
    <row r="283" spans="1:8" x14ac:dyDescent="0.2">
      <c r="A283" s="4" t="str">
        <f>"01.286/001 b/2025"</f>
        <v>01.286/001 b/2025</v>
      </c>
      <c r="B283" s="4" t="str">
        <f>"Themenwerkstatt: Von der Problem- in die Lösungsorientierung mit Fokus Lösungsorientierung"</f>
        <v>Themenwerkstatt: Von der Problem- in die Lösungsorientierung mit Fokus Lösungsorientierung</v>
      </c>
      <c r="C283" s="5">
        <v>45847</v>
      </c>
      <c r="D283" s="5">
        <v>45847</v>
      </c>
      <c r="E283" s="4"/>
      <c r="F283" s="17"/>
      <c r="G283" s="4" t="s">
        <v>18</v>
      </c>
      <c r="H283" s="4" t="s">
        <v>11</v>
      </c>
    </row>
    <row r="284" spans="1:8" x14ac:dyDescent="0.2">
      <c r="A284" s="4" t="str">
        <f>"01.286/001 c/2025"</f>
        <v>01.286/001 c/2025</v>
      </c>
      <c r="B284" s="4" t="str">
        <f>"Themenwerkstatt: Von der Problem- in die Lösungsorientierung mit Fokus Lösungsorientierung"</f>
        <v>Themenwerkstatt: Von der Problem- in die Lösungsorientierung mit Fokus Lösungsorientierung</v>
      </c>
      <c r="C284" s="5">
        <v>45922</v>
      </c>
      <c r="D284" s="5">
        <v>45922</v>
      </c>
      <c r="E284" s="4"/>
      <c r="F284" s="17"/>
      <c r="G284" s="4" t="s">
        <v>18</v>
      </c>
      <c r="H284" s="4" t="s">
        <v>11</v>
      </c>
    </row>
    <row r="285" spans="1:8" x14ac:dyDescent="0.2">
      <c r="A285" s="4" t="str">
        <f>"01.286/001 d/2025"</f>
        <v>01.286/001 d/2025</v>
      </c>
      <c r="B285" s="4" t="str">
        <f>"Themenwerkstatt: Von der Problem- in die Lösungsorientierung mit Fokus Lösungsorientierung"</f>
        <v>Themenwerkstatt: Von der Problem- in die Lösungsorientierung mit Fokus Lösungsorientierung</v>
      </c>
      <c r="C285" s="5">
        <v>45992</v>
      </c>
      <c r="D285" s="5">
        <v>45992</v>
      </c>
      <c r="E285" s="4"/>
      <c r="F285" s="17"/>
      <c r="G285" s="4" t="s">
        <v>18</v>
      </c>
      <c r="H285" s="4" t="s">
        <v>11</v>
      </c>
    </row>
    <row r="286" spans="1:8" x14ac:dyDescent="0.2">
      <c r="A286" s="4" t="str">
        <f>"01.288/001/2025"</f>
        <v>01.288/001/2025</v>
      </c>
      <c r="B286" s="4" t="str">
        <f>"Themenwerkstatt: Neue Führungswelten?"</f>
        <v>Themenwerkstatt: Neue Führungswelten?</v>
      </c>
      <c r="C286" s="5">
        <v>45901</v>
      </c>
      <c r="D286" s="5">
        <v>46090</v>
      </c>
      <c r="E286" s="4" t="str">
        <f>"4x1 Tag"</f>
        <v>4x1 Tag</v>
      </c>
      <c r="F286" s="17">
        <v>1260</v>
      </c>
      <c r="G286" s="4"/>
      <c r="H286" s="4" t="s">
        <v>22</v>
      </c>
    </row>
    <row r="287" spans="1:8" x14ac:dyDescent="0.2">
      <c r="A287" s="4" t="str">
        <f>"01.288/001 a/2025"</f>
        <v>01.288/001 a/2025</v>
      </c>
      <c r="B287" s="4" t="str">
        <f>"Themenwerkstatt: Neue Führungswelten mit Fokus Mitarbeitende"</f>
        <v>Themenwerkstatt: Neue Führungswelten mit Fokus Mitarbeitende</v>
      </c>
      <c r="C287" s="5">
        <v>45901</v>
      </c>
      <c r="D287" s="5">
        <v>45901</v>
      </c>
      <c r="E287" s="4"/>
      <c r="F287" s="17"/>
      <c r="G287" s="4" t="s">
        <v>18</v>
      </c>
      <c r="H287" s="4" t="s">
        <v>11</v>
      </c>
    </row>
    <row r="288" spans="1:8" x14ac:dyDescent="0.2">
      <c r="A288" s="4" t="str">
        <f>"01.288/001 b/2025"</f>
        <v>01.288/001 b/2025</v>
      </c>
      <c r="B288" s="4" t="str">
        <f>"Themenwerkstatt: Neue Führungswelten mit Fokus Mitarbeitende"</f>
        <v>Themenwerkstatt: Neue Führungswelten mit Fokus Mitarbeitende</v>
      </c>
      <c r="C288" s="5">
        <v>45961</v>
      </c>
      <c r="D288" s="5">
        <v>45961</v>
      </c>
      <c r="E288" s="4"/>
      <c r="F288" s="17"/>
      <c r="G288" s="4" t="s">
        <v>18</v>
      </c>
      <c r="H288" s="4" t="s">
        <v>11</v>
      </c>
    </row>
    <row r="289" spans="1:8" x14ac:dyDescent="0.2">
      <c r="A289" s="4" t="str">
        <f>"01.288/001 c/2025"</f>
        <v>01.288/001 c/2025</v>
      </c>
      <c r="B289" s="4" t="str">
        <f>"Themenwerkstatt: Neue Führungswelten mit Fokus Mitarbeitende"</f>
        <v>Themenwerkstatt: Neue Führungswelten mit Fokus Mitarbeitende</v>
      </c>
      <c r="C289" s="5">
        <v>46031</v>
      </c>
      <c r="D289" s="5">
        <v>46031</v>
      </c>
      <c r="E289" s="4"/>
      <c r="F289" s="17"/>
      <c r="G289" s="4" t="s">
        <v>18</v>
      </c>
      <c r="H289" s="4" t="s">
        <v>11</v>
      </c>
    </row>
    <row r="290" spans="1:8" x14ac:dyDescent="0.2">
      <c r="A290" s="4" t="str">
        <f>"01.288/001 d/2025"</f>
        <v>01.288/001 d/2025</v>
      </c>
      <c r="B290" s="4" t="str">
        <f>"Themenwerkstatt: Neue Führungswelten mit Fokus Mitarbeitende"</f>
        <v>Themenwerkstatt: Neue Führungswelten mit Fokus Mitarbeitende</v>
      </c>
      <c r="C290" s="5">
        <v>46090</v>
      </c>
      <c r="D290" s="5">
        <v>46090</v>
      </c>
      <c r="E290" s="4"/>
      <c r="F290" s="17"/>
      <c r="G290" s="4" t="s">
        <v>18</v>
      </c>
      <c r="H290" s="4" t="s">
        <v>11</v>
      </c>
    </row>
    <row r="291" spans="1:8" x14ac:dyDescent="0.2">
      <c r="A291" s="4" t="str">
        <f>"01.290/001/2025"</f>
        <v>01.290/001/2025</v>
      </c>
      <c r="B291" s="4" t="str">
        <f>"Themenwerkstatt: Zukunft von Führung in der Verwaltung"</f>
        <v>Themenwerkstatt: Zukunft von Führung in der Verwaltung</v>
      </c>
      <c r="C291" s="5">
        <v>45926</v>
      </c>
      <c r="D291" s="5">
        <v>46125</v>
      </c>
      <c r="E291" s="4" t="str">
        <f>"4x1 Tag"</f>
        <v>4x1 Tag</v>
      </c>
      <c r="F291" s="17">
        <v>1260</v>
      </c>
      <c r="G291" s="4"/>
      <c r="H291" s="4" t="s">
        <v>22</v>
      </c>
    </row>
    <row r="292" spans="1:8" x14ac:dyDescent="0.2">
      <c r="A292" s="4" t="str">
        <f>"01.290/001 a/2025"</f>
        <v>01.290/001 a/2025</v>
      </c>
      <c r="B292" s="4" t="str">
        <f>"Themenwerkstatt: Zukunft von Führung mit Fokus Mindset"</f>
        <v>Themenwerkstatt: Zukunft von Führung mit Fokus Mindset</v>
      </c>
      <c r="C292" s="5">
        <v>45926</v>
      </c>
      <c r="D292" s="5">
        <v>45926</v>
      </c>
      <c r="E292" s="4"/>
      <c r="F292" s="17"/>
      <c r="G292" s="4" t="s">
        <v>18</v>
      </c>
      <c r="H292" s="4" t="s">
        <v>11</v>
      </c>
    </row>
    <row r="293" spans="1:8" x14ac:dyDescent="0.2">
      <c r="A293" s="4" t="str">
        <f>"01.290/001 b/2025"</f>
        <v>01.290/001 b/2025</v>
      </c>
      <c r="B293" s="4" t="str">
        <f>"Themenwerkstatt: Zukunft von Führung mit Fokus Mindset"</f>
        <v>Themenwerkstatt: Zukunft von Führung mit Fokus Mindset</v>
      </c>
      <c r="C293" s="5">
        <v>45995</v>
      </c>
      <c r="D293" s="5">
        <v>45995</v>
      </c>
      <c r="E293" s="4"/>
      <c r="F293" s="17"/>
      <c r="G293" s="4" t="s">
        <v>18</v>
      </c>
      <c r="H293" s="4" t="s">
        <v>11</v>
      </c>
    </row>
    <row r="294" spans="1:8" x14ac:dyDescent="0.2">
      <c r="A294" s="4" t="str">
        <f>"01.290/001 c/2025"</f>
        <v>01.290/001 c/2025</v>
      </c>
      <c r="B294" s="4" t="str">
        <f>"Themenwerkstatt: Zukunft von Führung mit Fokus Mindset"</f>
        <v>Themenwerkstatt: Zukunft von Führung mit Fokus Mindset</v>
      </c>
      <c r="C294" s="5">
        <v>46063</v>
      </c>
      <c r="D294" s="5">
        <v>46063</v>
      </c>
      <c r="E294" s="4"/>
      <c r="F294" s="17"/>
      <c r="G294" s="4" t="s">
        <v>18</v>
      </c>
      <c r="H294" s="4" t="s">
        <v>11</v>
      </c>
    </row>
    <row r="295" spans="1:8" x14ac:dyDescent="0.2">
      <c r="A295" s="4" t="str">
        <f>"01.290/001 d/2025"</f>
        <v>01.290/001 d/2025</v>
      </c>
      <c r="B295" s="4" t="str">
        <f>"Themenwerkstatt: Zukunft von Führung mit Fokus Mindset"</f>
        <v>Themenwerkstatt: Zukunft von Führung mit Fokus Mindset</v>
      </c>
      <c r="C295" s="5">
        <v>46125</v>
      </c>
      <c r="D295" s="5">
        <v>46125</v>
      </c>
      <c r="E295" s="4"/>
      <c r="F295" s="17"/>
      <c r="G295" s="4" t="s">
        <v>18</v>
      </c>
      <c r="H295" s="4" t="s">
        <v>11</v>
      </c>
    </row>
    <row r="296" spans="1:8" x14ac:dyDescent="0.2">
      <c r="A296" s="4" t="str">
        <f>"01.292/001/2025"</f>
        <v>01.292/001/2025</v>
      </c>
      <c r="B296" s="4" t="str">
        <f>"Themenwerkstatt: Veränderung"</f>
        <v>Themenwerkstatt: Veränderung</v>
      </c>
      <c r="C296" s="5">
        <v>45938</v>
      </c>
      <c r="D296" s="5">
        <v>46136</v>
      </c>
      <c r="E296" s="4" t="str">
        <f>"4x1 Tag"</f>
        <v>4x1 Tag</v>
      </c>
      <c r="F296" s="17">
        <v>1260</v>
      </c>
      <c r="G296" s="4"/>
      <c r="H296" s="4" t="s">
        <v>22</v>
      </c>
    </row>
    <row r="297" spans="1:8" x14ac:dyDescent="0.2">
      <c r="A297" s="4" t="str">
        <f>"01.292/001 a/2025"</f>
        <v>01.292/001 a/2025</v>
      </c>
      <c r="B297" s="4" t="str">
        <f>"Themenwerkstatt: Veränderung. Fokus: Mindset/ Haltung "</f>
        <v xml:space="preserve">Themenwerkstatt: Veränderung. Fokus: Mindset/ Haltung </v>
      </c>
      <c r="C297" s="5">
        <v>45938</v>
      </c>
      <c r="D297" s="5">
        <v>45938</v>
      </c>
      <c r="E297" s="4"/>
      <c r="F297" s="17"/>
      <c r="G297" s="4" t="s">
        <v>18</v>
      </c>
      <c r="H297" s="4" t="s">
        <v>11</v>
      </c>
    </row>
    <row r="298" spans="1:8" x14ac:dyDescent="0.2">
      <c r="A298" s="4" t="str">
        <f>"01.292/001 b/2025"</f>
        <v>01.292/001 b/2025</v>
      </c>
      <c r="B298" s="4" t="str">
        <f>"Themenwerkstatt: Veränderung. Fokus: Mindset/ Haltung"</f>
        <v>Themenwerkstatt: Veränderung. Fokus: Mindset/ Haltung</v>
      </c>
      <c r="C298" s="5">
        <v>46003</v>
      </c>
      <c r="D298" s="5">
        <v>46003</v>
      </c>
      <c r="E298" s="4"/>
      <c r="F298" s="17"/>
      <c r="G298" s="4" t="s">
        <v>18</v>
      </c>
      <c r="H298" s="4" t="s">
        <v>11</v>
      </c>
    </row>
    <row r="299" spans="1:8" x14ac:dyDescent="0.2">
      <c r="A299" s="4" t="str">
        <f>"01.292/001 c/2025"</f>
        <v>01.292/001 c/2025</v>
      </c>
      <c r="B299" s="4" t="str">
        <f>"Themenwerkstatt: Veränderung. Fokus: Mindset/ Haltung"</f>
        <v>Themenwerkstatt: Veränderung. Fokus: Mindset/ Haltung</v>
      </c>
      <c r="C299" s="5">
        <v>46065</v>
      </c>
      <c r="D299" s="5">
        <v>46065</v>
      </c>
      <c r="E299" s="4"/>
      <c r="F299" s="17"/>
      <c r="G299" s="4" t="s">
        <v>18</v>
      </c>
      <c r="H299" s="4" t="s">
        <v>11</v>
      </c>
    </row>
    <row r="300" spans="1:8" x14ac:dyDescent="0.2">
      <c r="A300" s="4" t="str">
        <f>"01.292/001 d/2025"</f>
        <v>01.292/001 d/2025</v>
      </c>
      <c r="B300" s="4" t="str">
        <f>"Themenwerkstatt: Veränderung. Fokus: Mindset/ Haltung"</f>
        <v>Themenwerkstatt: Veränderung. Fokus: Mindset/ Haltung</v>
      </c>
      <c r="C300" s="5">
        <v>46136</v>
      </c>
      <c r="D300" s="5">
        <v>46136</v>
      </c>
      <c r="E300" s="4"/>
      <c r="F300" s="17"/>
      <c r="G300" s="4" t="s">
        <v>18</v>
      </c>
      <c r="H300" s="4" t="s">
        <v>11</v>
      </c>
    </row>
    <row r="301" spans="1:8" x14ac:dyDescent="0.2">
      <c r="A301" s="4" t="str">
        <f>"01.294/001/2025"</f>
        <v>01.294/001/2025</v>
      </c>
      <c r="B301" s="4" t="str">
        <f>"Themenwerkstatt: Neu in der Führungsrolle "</f>
        <v xml:space="preserve">Themenwerkstatt: Neu in der Führungsrolle </v>
      </c>
      <c r="C301" s="5">
        <v>45947</v>
      </c>
      <c r="D301" s="5">
        <v>46146</v>
      </c>
      <c r="E301" s="4" t="str">
        <f>"4x1 Tag"</f>
        <v>4x1 Tag</v>
      </c>
      <c r="F301" s="17">
        <v>1260</v>
      </c>
      <c r="G301" s="4"/>
      <c r="H301" s="4" t="s">
        <v>22</v>
      </c>
    </row>
    <row r="302" spans="1:8" x14ac:dyDescent="0.2">
      <c r="A302" s="4" t="str">
        <f>"01.294/001 a/2025"</f>
        <v>01.294/001 a/2025</v>
      </c>
      <c r="B302" s="4" t="str">
        <f>"Themenwerkstatt: Neu in der Führungsrolle"</f>
        <v>Themenwerkstatt: Neu in der Führungsrolle</v>
      </c>
      <c r="C302" s="5">
        <v>45947</v>
      </c>
      <c r="D302" s="5">
        <v>45947</v>
      </c>
      <c r="E302" s="4"/>
      <c r="F302" s="17"/>
      <c r="G302" s="4" t="s">
        <v>18</v>
      </c>
      <c r="H302" s="4" t="s">
        <v>11</v>
      </c>
    </row>
    <row r="303" spans="1:8" x14ac:dyDescent="0.2">
      <c r="A303" s="4" t="str">
        <f>"01.294/001 b/2025"</f>
        <v>01.294/001 b/2025</v>
      </c>
      <c r="B303" s="4" t="str">
        <f>"Themenwerkstatt: Neu in der Führungsrolle"</f>
        <v>Themenwerkstatt: Neu in der Führungsrolle</v>
      </c>
      <c r="C303" s="5">
        <v>46006</v>
      </c>
      <c r="D303" s="5">
        <v>46006</v>
      </c>
      <c r="E303" s="4"/>
      <c r="F303" s="17"/>
      <c r="G303" s="4" t="s">
        <v>18</v>
      </c>
      <c r="H303" s="4" t="s">
        <v>11</v>
      </c>
    </row>
    <row r="304" spans="1:8" x14ac:dyDescent="0.2">
      <c r="A304" s="4" t="str">
        <f>"01.294/001 c/2025"</f>
        <v>01.294/001 c/2025</v>
      </c>
      <c r="B304" s="4" t="str">
        <f>"Themenwerkstatt: Neu in der Führungsrolle"</f>
        <v>Themenwerkstatt: Neu in der Führungsrolle</v>
      </c>
      <c r="C304" s="5">
        <v>46080</v>
      </c>
      <c r="D304" s="5">
        <v>46080</v>
      </c>
      <c r="E304" s="4"/>
      <c r="F304" s="17"/>
      <c r="G304" s="4" t="s">
        <v>18</v>
      </c>
      <c r="H304" s="4" t="s">
        <v>11</v>
      </c>
    </row>
    <row r="305" spans="1:8" x14ac:dyDescent="0.2">
      <c r="A305" s="4" t="str">
        <f>"01.294/001 d/2025"</f>
        <v>01.294/001 d/2025</v>
      </c>
      <c r="B305" s="4" t="str">
        <f>"Themenwerkstatt: Neu in der Führungsrolle"</f>
        <v>Themenwerkstatt: Neu in der Führungsrolle</v>
      </c>
      <c r="C305" s="5">
        <v>46146</v>
      </c>
      <c r="D305" s="5">
        <v>46146</v>
      </c>
      <c r="E305" s="4"/>
      <c r="F305" s="17"/>
      <c r="G305" s="4" t="s">
        <v>18</v>
      </c>
      <c r="H305" s="4" t="s">
        <v>11</v>
      </c>
    </row>
    <row r="306" spans="1:8" x14ac:dyDescent="0.2">
      <c r="A306" s="4" t="str">
        <f>"01.410/001/2025"</f>
        <v>01.410/001/2025</v>
      </c>
      <c r="B306" s="4" t="str">
        <f>"Vorausschauend führen"</f>
        <v>Vorausschauend führen</v>
      </c>
      <c r="C306" s="5">
        <v>45803</v>
      </c>
      <c r="D306" s="5">
        <v>45804</v>
      </c>
      <c r="E306" s="4" t="str">
        <f>"2 Tage"</f>
        <v>2 Tage</v>
      </c>
      <c r="F306" s="17">
        <v>490</v>
      </c>
      <c r="G306" s="4" t="s">
        <v>18</v>
      </c>
      <c r="H306" s="4" t="s">
        <v>11</v>
      </c>
    </row>
    <row r="307" spans="1:8" x14ac:dyDescent="0.2">
      <c r="A307" s="4" t="str">
        <f>"01.420/001/2025"</f>
        <v>01.420/001/2025</v>
      </c>
      <c r="B307" s="4" t="str">
        <f>"Gute Führung durch Mitarbeiterbindung"</f>
        <v>Gute Führung durch Mitarbeiterbindung</v>
      </c>
      <c r="C307" s="5">
        <v>45666</v>
      </c>
      <c r="D307" s="5">
        <v>45758</v>
      </c>
      <c r="E307" s="4" t="str">
        <f>"2x2 Tage"</f>
        <v>2x2 Tage</v>
      </c>
      <c r="F307" s="17">
        <v>990</v>
      </c>
      <c r="G307" s="4"/>
      <c r="H307" s="4" t="s">
        <v>11</v>
      </c>
    </row>
    <row r="308" spans="1:8" x14ac:dyDescent="0.2">
      <c r="A308" s="4" t="str">
        <f>"01.420/001 a/2025"</f>
        <v>01.420/001 a/2025</v>
      </c>
      <c r="B308" s="4" t="str">
        <f>"Gute Führung durch Mitarbeiterbindung"</f>
        <v>Gute Führung durch Mitarbeiterbindung</v>
      </c>
      <c r="C308" s="5">
        <v>45666</v>
      </c>
      <c r="D308" s="5">
        <v>45667</v>
      </c>
      <c r="E308" s="4"/>
      <c r="F308" s="17"/>
      <c r="G308" s="4" t="s">
        <v>18</v>
      </c>
      <c r="H308" s="4" t="s">
        <v>11</v>
      </c>
    </row>
    <row r="309" spans="1:8" x14ac:dyDescent="0.2">
      <c r="A309" s="4" t="str">
        <f>"01.420/001 b/2025"</f>
        <v>01.420/001 b/2025</v>
      </c>
      <c r="B309" s="4" t="str">
        <f>"Gute Führung durch Mitarbeiterbindung"</f>
        <v>Gute Führung durch Mitarbeiterbindung</v>
      </c>
      <c r="C309" s="5">
        <v>45757</v>
      </c>
      <c r="D309" s="5">
        <v>45758</v>
      </c>
      <c r="E309" s="4"/>
      <c r="F309" s="17"/>
      <c r="G309" s="4" t="s">
        <v>18</v>
      </c>
      <c r="H309" s="4" t="s">
        <v>11</v>
      </c>
    </row>
    <row r="310" spans="1:8" x14ac:dyDescent="0.2">
      <c r="A310" s="4" t="str">
        <f>"01.435/001/2025"</f>
        <v>01.435/001/2025</v>
      </c>
      <c r="B310" s="4" t="str">
        <f>"Rollenwechsel - gestern Kollegin oder Kollege, heute Vorgesetzte oder Vorgesetzter"</f>
        <v>Rollenwechsel - gestern Kollegin oder Kollege, heute Vorgesetzte oder Vorgesetzter</v>
      </c>
      <c r="C310" s="5">
        <v>45665</v>
      </c>
      <c r="D310" s="5">
        <v>45667</v>
      </c>
      <c r="E310" s="4" t="str">
        <f t="shared" ref="E310:E315" si="11">"3 Tage"</f>
        <v>3 Tage</v>
      </c>
      <c r="F310" s="17">
        <v>760</v>
      </c>
      <c r="G310" s="4" t="s">
        <v>18</v>
      </c>
      <c r="H310" s="4" t="s">
        <v>11</v>
      </c>
    </row>
    <row r="311" spans="1:8" x14ac:dyDescent="0.2">
      <c r="A311" s="4" t="str">
        <f>"01.435/002/2025"</f>
        <v>01.435/002/2025</v>
      </c>
      <c r="B311" s="4" t="str">
        <f>"Rollenwechsel - gestern Kollegin oder Kollege, heute Vorgesetzte oder Vorgesetzter"</f>
        <v>Rollenwechsel - gestern Kollegin oder Kollege, heute Vorgesetzte oder Vorgesetzter</v>
      </c>
      <c r="C311" s="5">
        <v>45929</v>
      </c>
      <c r="D311" s="5">
        <v>45931</v>
      </c>
      <c r="E311" s="4" t="str">
        <f t="shared" si="11"/>
        <v>3 Tage</v>
      </c>
      <c r="F311" s="17">
        <v>760</v>
      </c>
      <c r="G311" s="4" t="s">
        <v>18</v>
      </c>
      <c r="H311" s="4" t="s">
        <v>11</v>
      </c>
    </row>
    <row r="312" spans="1:8" x14ac:dyDescent="0.2">
      <c r="A312" s="4" t="str">
        <f>"01.445/001/2025"</f>
        <v>01.445/001/2025</v>
      </c>
      <c r="B312" s="4" t="str">
        <f>"Führen in der Sandwichposition"</f>
        <v>Führen in der Sandwichposition</v>
      </c>
      <c r="C312" s="5">
        <v>45803</v>
      </c>
      <c r="D312" s="5">
        <v>45805</v>
      </c>
      <c r="E312" s="4" t="str">
        <f t="shared" si="11"/>
        <v>3 Tage</v>
      </c>
      <c r="F312" s="17">
        <v>760</v>
      </c>
      <c r="G312" s="4" t="s">
        <v>18</v>
      </c>
      <c r="H312" s="4" t="s">
        <v>11</v>
      </c>
    </row>
    <row r="313" spans="1:8" x14ac:dyDescent="0.2">
      <c r="A313" s="4" t="str">
        <f>"01.445/002/2025"</f>
        <v>01.445/002/2025</v>
      </c>
      <c r="B313" s="4" t="str">
        <f>"Führen in der Sandwichposition"</f>
        <v>Führen in der Sandwichposition</v>
      </c>
      <c r="C313" s="5">
        <v>45966</v>
      </c>
      <c r="D313" s="5">
        <v>45968</v>
      </c>
      <c r="E313" s="4" t="str">
        <f t="shared" si="11"/>
        <v>3 Tage</v>
      </c>
      <c r="F313" s="17">
        <v>760</v>
      </c>
      <c r="G313" s="4" t="s">
        <v>18</v>
      </c>
      <c r="H313" s="4" t="s">
        <v>11</v>
      </c>
    </row>
    <row r="314" spans="1:8" x14ac:dyDescent="0.2">
      <c r="A314" s="4" t="str">
        <f>"01.450/001/2025"</f>
        <v>01.450/001/2025</v>
      </c>
      <c r="B314" s="4" t="str">
        <f>"Wenn die Hierarchie nicht zieht - Führen auf Augenhöhe"</f>
        <v>Wenn die Hierarchie nicht zieht - Führen auf Augenhöhe</v>
      </c>
      <c r="C314" s="5">
        <v>45754</v>
      </c>
      <c r="D314" s="5">
        <v>45756</v>
      </c>
      <c r="E314" s="4" t="str">
        <f t="shared" si="11"/>
        <v>3 Tage</v>
      </c>
      <c r="F314" s="17">
        <v>760</v>
      </c>
      <c r="G314" s="4" t="s">
        <v>18</v>
      </c>
      <c r="H314" s="4" t="s">
        <v>11</v>
      </c>
    </row>
    <row r="315" spans="1:8" x14ac:dyDescent="0.2">
      <c r="A315" s="4" t="str">
        <f>"01.450/002/2025"</f>
        <v>01.450/002/2025</v>
      </c>
      <c r="B315" s="4" t="str">
        <f>"Wenn die Hierarchie nicht zieht - Führen auf Augenhöhe"</f>
        <v>Wenn die Hierarchie nicht zieht - Führen auf Augenhöhe</v>
      </c>
      <c r="C315" s="5">
        <v>45950</v>
      </c>
      <c r="D315" s="5">
        <v>45952</v>
      </c>
      <c r="E315" s="4" t="str">
        <f t="shared" si="11"/>
        <v>3 Tage</v>
      </c>
      <c r="F315" s="17">
        <v>760</v>
      </c>
      <c r="G315" s="4" t="s">
        <v>18</v>
      </c>
      <c r="H315" s="4" t="s">
        <v>11</v>
      </c>
    </row>
    <row r="316" spans="1:8" x14ac:dyDescent="0.2">
      <c r="A316" s="4" t="str">
        <f>"01.460/001/2025"</f>
        <v>01.460/001/2025</v>
      </c>
      <c r="B316" s="4" t="str">
        <f>"Selbstcoaching für Führungskräfte"</f>
        <v>Selbstcoaching für Führungskräfte</v>
      </c>
      <c r="C316" s="5">
        <v>45677</v>
      </c>
      <c r="D316" s="5">
        <v>45713</v>
      </c>
      <c r="E316" s="4" t="str">
        <f>"2x2 Tage"</f>
        <v>2x2 Tage</v>
      </c>
      <c r="F316" s="17">
        <v>990</v>
      </c>
      <c r="G316" s="4"/>
      <c r="H316" s="4" t="s">
        <v>11</v>
      </c>
    </row>
    <row r="317" spans="1:8" x14ac:dyDescent="0.2">
      <c r="A317" s="4" t="str">
        <f>"01.460/001 a/2025"</f>
        <v>01.460/001 a/2025</v>
      </c>
      <c r="B317" s="4" t="str">
        <f>"Selbstcoaching für Führungskräfte"</f>
        <v>Selbstcoaching für Führungskräfte</v>
      </c>
      <c r="C317" s="5">
        <v>45677</v>
      </c>
      <c r="D317" s="5">
        <v>45678</v>
      </c>
      <c r="E317" s="4"/>
      <c r="F317" s="17"/>
      <c r="G317" s="4" t="s">
        <v>18</v>
      </c>
      <c r="H317" s="4" t="s">
        <v>11</v>
      </c>
    </row>
    <row r="318" spans="1:8" x14ac:dyDescent="0.2">
      <c r="A318" s="4" t="str">
        <f>"01.460/001 b/2025"</f>
        <v>01.460/001 b/2025</v>
      </c>
      <c r="B318" s="4" t="str">
        <f>"Selbstcoaching für Führungskräfte"</f>
        <v>Selbstcoaching für Führungskräfte</v>
      </c>
      <c r="C318" s="5">
        <v>45712</v>
      </c>
      <c r="D318" s="5">
        <v>45713</v>
      </c>
      <c r="E318" s="4"/>
      <c r="F318" s="17"/>
      <c r="G318" s="4" t="s">
        <v>18</v>
      </c>
      <c r="H318" s="4" t="s">
        <v>11</v>
      </c>
    </row>
    <row r="319" spans="1:8" x14ac:dyDescent="0.2">
      <c r="A319" s="4" t="str">
        <f>"01.470/001/2025"</f>
        <v>01.470/001/2025</v>
      </c>
      <c r="B319" s="4" t="str">
        <f>"Erfolgskonzepte aus dem Spitzensport effektiv nutzen"</f>
        <v>Erfolgskonzepte aus dem Spitzensport effektiv nutzen</v>
      </c>
      <c r="C319" s="5">
        <v>45693</v>
      </c>
      <c r="D319" s="5">
        <v>45694</v>
      </c>
      <c r="E319" s="4" t="str">
        <f>"2 Tage"</f>
        <v>2 Tage</v>
      </c>
      <c r="F319" s="17">
        <v>430</v>
      </c>
      <c r="G319" s="4" t="s">
        <v>18</v>
      </c>
      <c r="H319" s="4" t="s">
        <v>11</v>
      </c>
    </row>
    <row r="320" spans="1:8" x14ac:dyDescent="0.2">
      <c r="A320" s="4" t="str">
        <f>"01.470/002/2025"</f>
        <v>01.470/002/2025</v>
      </c>
      <c r="B320" s="4" t="str">
        <f>"Erfolgskonzepte aus dem Spitzensport effektiv nutzen "</f>
        <v xml:space="preserve">Erfolgskonzepte aus dem Spitzensport effektiv nutzen </v>
      </c>
      <c r="C320" s="5">
        <v>45967</v>
      </c>
      <c r="D320" s="5">
        <v>45968</v>
      </c>
      <c r="E320" s="4" t="str">
        <f>"2 Tage"</f>
        <v>2 Tage</v>
      </c>
      <c r="F320" s="17">
        <v>430</v>
      </c>
      <c r="G320" s="4" t="s">
        <v>18</v>
      </c>
      <c r="H320" s="4" t="s">
        <v>11</v>
      </c>
    </row>
    <row r="321" spans="1:8" x14ac:dyDescent="0.2">
      <c r="A321" s="4" t="str">
        <f>"01.480/001/2025"</f>
        <v>01.480/001/2025</v>
      </c>
      <c r="B321" s="4" t="str">
        <f>"Führen, fördern, optimieren: Potenziale von Mitarbeiterinnen und Mitarbeitern erkennen und nachhaltig sichern"</f>
        <v>Führen, fördern, optimieren: Potenziale von Mitarbeiterinnen und Mitarbeitern erkennen und nachhaltig sichern</v>
      </c>
      <c r="C321" s="5">
        <v>45908</v>
      </c>
      <c r="D321" s="5">
        <v>45909</v>
      </c>
      <c r="E321" s="4" t="str">
        <f>"2 Tage"</f>
        <v>2 Tage</v>
      </c>
      <c r="F321" s="17">
        <v>490</v>
      </c>
      <c r="G321" s="4" t="s">
        <v>18</v>
      </c>
      <c r="H321" s="4" t="s">
        <v>11</v>
      </c>
    </row>
    <row r="322" spans="1:8" x14ac:dyDescent="0.2">
      <c r="A322" s="4" t="str">
        <f>"01.485/001/2025"</f>
        <v>01.485/001/2025</v>
      </c>
      <c r="B322" s="4" t="str">
        <f>"Der/die Vorgesetzte als Coach"</f>
        <v>Der/die Vorgesetzte als Coach</v>
      </c>
      <c r="C322" s="5">
        <v>45945</v>
      </c>
      <c r="D322" s="5">
        <v>45947</v>
      </c>
      <c r="E322" s="4" t="str">
        <f>"3 Tage"</f>
        <v>3 Tage</v>
      </c>
      <c r="F322" s="17">
        <v>760</v>
      </c>
      <c r="G322" s="4" t="s">
        <v>18</v>
      </c>
      <c r="H322" s="4" t="s">
        <v>11</v>
      </c>
    </row>
    <row r="323" spans="1:8" x14ac:dyDescent="0.2">
      <c r="A323" s="4" t="str">
        <f>"02.110/001/2025"</f>
        <v>02.110/001/2025</v>
      </c>
      <c r="B323" s="4" t="str">
        <f>"Betriebliches Gesundheitsmanagement (BGM) - Einführung "</f>
        <v xml:space="preserve">Betriebliches Gesundheitsmanagement (BGM) - Einführung </v>
      </c>
      <c r="C323" s="5">
        <v>45677</v>
      </c>
      <c r="D323" s="5">
        <v>45679</v>
      </c>
      <c r="E323" s="4" t="str">
        <f>"3 Tage"</f>
        <v>3 Tage</v>
      </c>
      <c r="F323" s="17">
        <v>760</v>
      </c>
      <c r="G323" s="4" t="s">
        <v>17</v>
      </c>
      <c r="H323" s="4" t="s">
        <v>11</v>
      </c>
    </row>
    <row r="324" spans="1:8" x14ac:dyDescent="0.2">
      <c r="A324" s="4" t="str">
        <f>"02.112/001/2025"</f>
        <v>02.112/001/2025</v>
      </c>
      <c r="B324" s="4" t="str">
        <f>"Wie etabliere ich BGM dauerhaft in meiner Organisation?"</f>
        <v>Wie etabliere ich BGM dauerhaft in meiner Organisation?</v>
      </c>
      <c r="C324" s="5">
        <v>45810</v>
      </c>
      <c r="D324" s="5">
        <v>45811</v>
      </c>
      <c r="E324" s="4" t="str">
        <f>"2 Tage"</f>
        <v>2 Tage</v>
      </c>
      <c r="F324" s="17">
        <v>490</v>
      </c>
      <c r="G324" s="4" t="s">
        <v>17</v>
      </c>
      <c r="H324" s="4" t="s">
        <v>11</v>
      </c>
    </row>
    <row r="325" spans="1:8" x14ac:dyDescent="0.2">
      <c r="A325" s="4" t="str">
        <f>"02.114/001/2025"</f>
        <v>02.114/001/2025</v>
      </c>
      <c r="B325" s="4" t="str">
        <f>"Betriebliches Eingliederungsmanagement"</f>
        <v>Betriebliches Eingliederungsmanagement</v>
      </c>
      <c r="C325" s="5">
        <v>45792</v>
      </c>
      <c r="D325" s="5">
        <v>45793</v>
      </c>
      <c r="E325" s="4" t="str">
        <f>"2 Tage"</f>
        <v>2 Tage</v>
      </c>
      <c r="F325" s="17">
        <v>490</v>
      </c>
      <c r="G325" s="4" t="s">
        <v>17</v>
      </c>
      <c r="H325" s="4" t="s">
        <v>11</v>
      </c>
    </row>
    <row r="326" spans="1:8" x14ac:dyDescent="0.2">
      <c r="A326" s="4" t="str">
        <f>"02.116/001/2025"</f>
        <v>02.116/001/2025</v>
      </c>
      <c r="B326" s="4" t="str">
        <f>"Rückkehrgespräche im Betrieblichen Eingliederungsmanagement führen"</f>
        <v>Rückkehrgespräche im Betrieblichen Eingliederungsmanagement führen</v>
      </c>
      <c r="C326" s="5">
        <v>45670</v>
      </c>
      <c r="D326" s="5">
        <v>45671</v>
      </c>
      <c r="E326" s="4" t="str">
        <f>"2 Tage"</f>
        <v>2 Tage</v>
      </c>
      <c r="F326" s="17">
        <v>490</v>
      </c>
      <c r="G326" s="4" t="s">
        <v>17</v>
      </c>
      <c r="H326" s="4" t="s">
        <v>11</v>
      </c>
    </row>
    <row r="327" spans="1:8" x14ac:dyDescent="0.2">
      <c r="A327" s="4" t="str">
        <f>"02.118/001/2025"</f>
        <v>02.118/001/2025</v>
      </c>
      <c r="B327" s="4" t="str">
        <f>"Reflexion - meine Arbeit im BEM-Team optimieren"</f>
        <v>Reflexion - meine Arbeit im BEM-Team optimieren</v>
      </c>
      <c r="C327" s="5">
        <v>45859</v>
      </c>
      <c r="D327" s="5">
        <v>45859</v>
      </c>
      <c r="E327" s="4" t="str">
        <f>"1 Tag"</f>
        <v>1 Tag</v>
      </c>
      <c r="F327" s="17">
        <v>220</v>
      </c>
      <c r="G327" s="4" t="s">
        <v>17</v>
      </c>
      <c r="H327" s="4" t="s">
        <v>11</v>
      </c>
    </row>
    <row r="328" spans="1:8" x14ac:dyDescent="0.2">
      <c r="A328" s="4" t="str">
        <f>"02.120/001/2025"</f>
        <v>02.120/001/2025</v>
      </c>
      <c r="B328" s="4" t="str">
        <f>"Aus der Praxis für die Praxis: Betriebliche Gesundheitsförderung"</f>
        <v>Aus der Praxis für die Praxis: Betriebliche Gesundheitsförderung</v>
      </c>
      <c r="C328" s="5">
        <v>45701</v>
      </c>
      <c r="D328" s="5">
        <v>45702</v>
      </c>
      <c r="E328" s="4" t="str">
        <f>"2 Tage"</f>
        <v>2 Tage</v>
      </c>
      <c r="F328" s="17">
        <v>760</v>
      </c>
      <c r="G328" s="4" t="s">
        <v>17</v>
      </c>
      <c r="H328" s="4" t="s">
        <v>11</v>
      </c>
    </row>
    <row r="329" spans="1:8" x14ac:dyDescent="0.2">
      <c r="A329" s="4" t="str">
        <f>"02.122/001/2025"</f>
        <v>02.122/001/2025</v>
      </c>
      <c r="B329" s="4" t="str">
        <f>"Keine Angst vor der Gefährdungsbeurteilung psychischer Belastungen, kompakt"</f>
        <v>Keine Angst vor der Gefährdungsbeurteilung psychischer Belastungen, kompakt</v>
      </c>
      <c r="C329" s="5">
        <v>45953</v>
      </c>
      <c r="D329" s="5">
        <v>45953</v>
      </c>
      <c r="E329" s="4" t="str">
        <f>"1 Tag"</f>
        <v>1 Tag</v>
      </c>
      <c r="F329" s="17">
        <v>290</v>
      </c>
      <c r="G329" s="4" t="s">
        <v>17</v>
      </c>
      <c r="H329" s="4" t="s">
        <v>11</v>
      </c>
    </row>
    <row r="330" spans="1:8" x14ac:dyDescent="0.2">
      <c r="A330" s="4" t="str">
        <f>"02.140/001/2025"</f>
        <v>02.140/001/2025</v>
      </c>
      <c r="B330" s="4" t="str">
        <f>"Konstruktiver Abbau von (krankheitsbedingten) Fehlzeiten - Das Rückkehrgespräch"</f>
        <v>Konstruktiver Abbau von (krankheitsbedingten) Fehlzeiten - Das Rückkehrgespräch</v>
      </c>
      <c r="C330" s="5">
        <v>45923</v>
      </c>
      <c r="D330" s="5">
        <v>45924</v>
      </c>
      <c r="E330" s="4" t="str">
        <f>"2 Tage"</f>
        <v>2 Tage</v>
      </c>
      <c r="F330" s="17">
        <v>490</v>
      </c>
      <c r="G330" s="4" t="s">
        <v>17</v>
      </c>
      <c r="H330" s="4" t="s">
        <v>11</v>
      </c>
    </row>
    <row r="331" spans="1:8" x14ac:dyDescent="0.2">
      <c r="A331" s="4" t="str">
        <f>"02.142/001/2025"</f>
        <v>02.142/001/2025</v>
      </c>
      <c r="B331" s="4" t="str">
        <f>"Stärkung der Beratungskompetenz für Gesundheitsmanagerinnen und -manager"</f>
        <v>Stärkung der Beratungskompetenz für Gesundheitsmanagerinnen und -manager</v>
      </c>
      <c r="C331" s="5">
        <v>45831</v>
      </c>
      <c r="D331" s="5">
        <v>45832</v>
      </c>
      <c r="E331" s="4" t="str">
        <f>"2 Tage"</f>
        <v>2 Tage</v>
      </c>
      <c r="F331" s="17">
        <v>490</v>
      </c>
      <c r="G331" s="4" t="s">
        <v>17</v>
      </c>
      <c r="H331" s="4" t="s">
        <v>11</v>
      </c>
    </row>
    <row r="332" spans="1:8" x14ac:dyDescent="0.2">
      <c r="A332" s="4" t="str">
        <f>"02.180/001/2025"</f>
        <v>02.180/001/2025</v>
      </c>
      <c r="B332" s="4" t="str">
        <f>"Gestaltung des telefonischen Kontakts mit Menschen in Krisensituationen in der Personenauskunftsstelle - Modul 2"</f>
        <v>Gestaltung des telefonischen Kontakts mit Menschen in Krisensituationen in der Personenauskunftsstelle - Modul 2</v>
      </c>
      <c r="C332" s="5">
        <v>45708</v>
      </c>
      <c r="D332" s="5">
        <v>45708</v>
      </c>
      <c r="E332" s="4" t="str">
        <f>"1 Tag"</f>
        <v>1 Tag</v>
      </c>
      <c r="F332" s="17">
        <v>240</v>
      </c>
      <c r="G332" s="4" t="s">
        <v>17</v>
      </c>
      <c r="H332" s="4" t="s">
        <v>11</v>
      </c>
    </row>
    <row r="333" spans="1:8" x14ac:dyDescent="0.2">
      <c r="A333" s="4" t="str">
        <f>"02.180/002/2025"</f>
        <v>02.180/002/2025</v>
      </c>
      <c r="B333" s="4" t="str">
        <f>"Gestaltung des telefonischen Kontakts mit Menschen in Krisensituationen in der Personenauskunftsstelle - Modul 2"</f>
        <v>Gestaltung des telefonischen Kontakts mit Menschen in Krisensituationen in der Personenauskunftsstelle - Modul 2</v>
      </c>
      <c r="C333" s="5">
        <v>45897</v>
      </c>
      <c r="D333" s="5">
        <v>45897</v>
      </c>
      <c r="E333" s="4" t="str">
        <f>"1 Tag"</f>
        <v>1 Tag</v>
      </c>
      <c r="F333" s="17">
        <v>240</v>
      </c>
      <c r="G333" s="4" t="s">
        <v>17</v>
      </c>
      <c r="H333" s="4" t="s">
        <v>11</v>
      </c>
    </row>
    <row r="334" spans="1:8" x14ac:dyDescent="0.2">
      <c r="A334" s="4" t="str">
        <f>"02.210/001/2025"</f>
        <v>02.210/001/2025</v>
      </c>
      <c r="B334" s="4" t="str">
        <f>"Psychische Belastungen erkennen, Arbeitsfähigkeit erhalten"</f>
        <v>Psychische Belastungen erkennen, Arbeitsfähigkeit erhalten</v>
      </c>
      <c r="C334" s="5">
        <v>45862</v>
      </c>
      <c r="D334" s="5">
        <v>45863</v>
      </c>
      <c r="E334" s="4" t="str">
        <f>"2 Tage"</f>
        <v>2 Tage</v>
      </c>
      <c r="F334" s="17">
        <v>490</v>
      </c>
      <c r="G334" s="4" t="s">
        <v>17</v>
      </c>
      <c r="H334" s="4" t="s">
        <v>11</v>
      </c>
    </row>
    <row r="335" spans="1:8" x14ac:dyDescent="0.2">
      <c r="A335" s="4" t="str">
        <f>"02.211/001/2025"</f>
        <v>02.211/001/2025</v>
      </c>
      <c r="B335" s="4" t="str">
        <f>"Mitarbeiterinnen und Mitarbeiter gesund durch Veränderungsprozesse führen"</f>
        <v>Mitarbeiterinnen und Mitarbeiter gesund durch Veränderungsprozesse führen</v>
      </c>
      <c r="C335" s="5">
        <v>45866</v>
      </c>
      <c r="D335" s="5">
        <v>45867</v>
      </c>
      <c r="E335" s="4" t="str">
        <f>"2 Tage"</f>
        <v>2 Tage</v>
      </c>
      <c r="F335" s="17">
        <v>490</v>
      </c>
      <c r="G335" s="4" t="s">
        <v>17</v>
      </c>
      <c r="H335" s="4" t="s">
        <v>11</v>
      </c>
    </row>
    <row r="336" spans="1:8" x14ac:dyDescent="0.2">
      <c r="A336" s="4" t="str">
        <f>"02.215/001/2025"</f>
        <v>02.215/001/2025</v>
      </c>
      <c r="B336" s="4" t="str">
        <f>"Mindful Leadership"</f>
        <v>Mindful Leadership</v>
      </c>
      <c r="C336" s="5">
        <v>45846</v>
      </c>
      <c r="D336" s="5">
        <v>45847</v>
      </c>
      <c r="E336" s="4" t="str">
        <f>"2 Tage"</f>
        <v>2 Tage</v>
      </c>
      <c r="F336" s="17">
        <v>490</v>
      </c>
      <c r="G336" s="4" t="s">
        <v>17</v>
      </c>
      <c r="H336" s="4" t="s">
        <v>11</v>
      </c>
    </row>
    <row r="337" spans="1:8" x14ac:dyDescent="0.2">
      <c r="A337" s="4" t="str">
        <f>"02.216/001/2025"</f>
        <v>02.216/001/2025</v>
      </c>
      <c r="B337" s="4" t="str">
        <f>"Ab jetzt entspannt - auch als Führungskraft - das Gelassenheitstraining für den Arbeitsdschungel"</f>
        <v>Ab jetzt entspannt - auch als Führungskraft - das Gelassenheitstraining für den Arbeitsdschungel</v>
      </c>
      <c r="C337" s="5">
        <v>45791</v>
      </c>
      <c r="D337" s="5">
        <v>45792</v>
      </c>
      <c r="E337" s="4" t="str">
        <f>"2 Tage"</f>
        <v>2 Tage</v>
      </c>
      <c r="F337" s="17">
        <v>490</v>
      </c>
      <c r="G337" s="4" t="s">
        <v>17</v>
      </c>
      <c r="H337" s="4" t="s">
        <v>11</v>
      </c>
    </row>
    <row r="338" spans="1:8" x14ac:dyDescent="0.2">
      <c r="A338" s="4" t="str">
        <f>"02.216/002/2025"</f>
        <v>02.216/002/2025</v>
      </c>
      <c r="B338" s="4" t="str">
        <f>"Ab jetzt entspannt - auch als Führungskraft - das Gelassenheitstraining für den Arbeitsdschungel"</f>
        <v>Ab jetzt entspannt - auch als Führungskraft - das Gelassenheitstraining für den Arbeitsdschungel</v>
      </c>
      <c r="C338" s="5">
        <v>45999</v>
      </c>
      <c r="D338" s="5">
        <v>46000</v>
      </c>
      <c r="E338" s="4" t="str">
        <f>"2 Tage"</f>
        <v>2 Tage</v>
      </c>
      <c r="F338" s="17">
        <v>490</v>
      </c>
      <c r="G338" s="4" t="s">
        <v>17</v>
      </c>
      <c r="H338" s="4" t="s">
        <v>11</v>
      </c>
    </row>
    <row r="339" spans="1:8" x14ac:dyDescent="0.2">
      <c r="A339" s="4" t="str">
        <f>"02.220/001/2025"</f>
        <v>02.220/001/2025</v>
      </c>
      <c r="B339" s="4" t="str">
        <f>"Persönliches Stärkenmanagement - Potenziale erkennen und entfalten"</f>
        <v>Persönliches Stärkenmanagement - Potenziale erkennen und entfalten</v>
      </c>
      <c r="C339" s="5">
        <v>45939</v>
      </c>
      <c r="D339" s="5">
        <v>46160</v>
      </c>
      <c r="E339" s="4" t="str">
        <f>"1x2 Tage, 1x1 Tag"</f>
        <v>1x2 Tage, 1x1 Tag</v>
      </c>
      <c r="F339" s="17">
        <v>710</v>
      </c>
      <c r="G339" s="4"/>
      <c r="H339" s="4" t="s">
        <v>11</v>
      </c>
    </row>
    <row r="340" spans="1:8" x14ac:dyDescent="0.2">
      <c r="A340" s="4" t="str">
        <f>"02.220/001 a/2025"</f>
        <v>02.220/001 a/2025</v>
      </c>
      <c r="B340" s="4" t="str">
        <f>"Persönliches Stärkenmanagement - Potenziale erkennen und entfalten "</f>
        <v xml:space="preserve">Persönliches Stärkenmanagement - Potenziale erkennen und entfalten </v>
      </c>
      <c r="C340" s="5">
        <v>45939</v>
      </c>
      <c r="D340" s="5">
        <v>45940</v>
      </c>
      <c r="E340" s="4"/>
      <c r="F340" s="17"/>
      <c r="G340" s="4" t="s">
        <v>17</v>
      </c>
      <c r="H340" s="4" t="s">
        <v>11</v>
      </c>
    </row>
    <row r="341" spans="1:8" x14ac:dyDescent="0.2">
      <c r="A341" s="4" t="str">
        <f>"02.220/001 b/2025"</f>
        <v>02.220/001 b/2025</v>
      </c>
      <c r="B341" s="4" t="str">
        <f>"Persönliches Stärkenmanagement - Potenziale erkennen und entfalten "</f>
        <v xml:space="preserve">Persönliches Stärkenmanagement - Potenziale erkennen und entfalten </v>
      </c>
      <c r="C341" s="5">
        <v>46160</v>
      </c>
      <c r="D341" s="5">
        <v>46160</v>
      </c>
      <c r="E341" s="4"/>
      <c r="F341" s="17"/>
      <c r="G341" s="4" t="s">
        <v>17</v>
      </c>
      <c r="H341" s="4" t="s">
        <v>11</v>
      </c>
    </row>
    <row r="342" spans="1:8" x14ac:dyDescent="0.2">
      <c r="A342" s="4" t="str">
        <f>"02.226/001/2025"</f>
        <v>02.226/001/2025</v>
      </c>
      <c r="B342" s="4" t="str">
        <f>"Als Führungskraft sicher Handeln in ungewissen Zeiten"</f>
        <v>Als Führungskraft sicher Handeln in ungewissen Zeiten</v>
      </c>
      <c r="C342" s="5">
        <v>45789</v>
      </c>
      <c r="D342" s="5">
        <v>45790</v>
      </c>
      <c r="E342" s="4" t="str">
        <f t="shared" ref="E342:E350" si="12">"2 Tage"</f>
        <v>2 Tage</v>
      </c>
      <c r="F342" s="17">
        <v>490</v>
      </c>
      <c r="G342" s="4" t="s">
        <v>17</v>
      </c>
      <c r="H342" s="4" t="s">
        <v>11</v>
      </c>
    </row>
    <row r="343" spans="1:8" x14ac:dyDescent="0.2">
      <c r="A343" s="4" t="str">
        <f>"02.228/001/2025"</f>
        <v>02.228/001/2025</v>
      </c>
      <c r="B343" s="4" t="str">
        <f>"Als Führungskraft gelassen und optimal leistungsfähig bleiben"</f>
        <v>Als Führungskraft gelassen und optimal leistungsfähig bleiben</v>
      </c>
      <c r="C343" s="5">
        <v>45985</v>
      </c>
      <c r="D343" s="5">
        <v>45986</v>
      </c>
      <c r="E343" s="4" t="str">
        <f t="shared" si="12"/>
        <v>2 Tage</v>
      </c>
      <c r="F343" s="17">
        <v>490</v>
      </c>
      <c r="G343" s="4" t="s">
        <v>17</v>
      </c>
      <c r="H343" s="4" t="s">
        <v>11</v>
      </c>
    </row>
    <row r="344" spans="1:8" x14ac:dyDescent="0.2">
      <c r="A344" s="4" t="str">
        <f>"02.230/001/2025"</f>
        <v>02.230/001/2025</v>
      </c>
      <c r="B344" s="4" t="str">
        <f>"Zu viel Arbeit - zu wenig Personal! Führen in besonderen Belastungssituationen"</f>
        <v>Zu viel Arbeit - zu wenig Personal! Führen in besonderen Belastungssituationen</v>
      </c>
      <c r="C344" s="5">
        <v>45992</v>
      </c>
      <c r="D344" s="5">
        <v>45993</v>
      </c>
      <c r="E344" s="4" t="str">
        <f t="shared" si="12"/>
        <v>2 Tage</v>
      </c>
      <c r="F344" s="17">
        <v>490</v>
      </c>
      <c r="G344" s="4" t="s">
        <v>17</v>
      </c>
      <c r="H344" s="4" t="s">
        <v>11</v>
      </c>
    </row>
    <row r="345" spans="1:8" x14ac:dyDescent="0.2">
      <c r="A345" s="4" t="str">
        <f>"02.232/001/2025"</f>
        <v>02.232/001/2025</v>
      </c>
      <c r="B345" s="4" t="str">
        <f>"Teamgesundheit erhalten"</f>
        <v>Teamgesundheit erhalten</v>
      </c>
      <c r="C345" s="5">
        <v>45846</v>
      </c>
      <c r="D345" s="5">
        <v>45847</v>
      </c>
      <c r="E345" s="4" t="str">
        <f t="shared" si="12"/>
        <v>2 Tage</v>
      </c>
      <c r="F345" s="17">
        <v>490</v>
      </c>
      <c r="G345" s="4" t="s">
        <v>17</v>
      </c>
      <c r="H345" s="4" t="s">
        <v>11</v>
      </c>
    </row>
    <row r="346" spans="1:8" x14ac:dyDescent="0.2">
      <c r="A346" s="4" t="str">
        <f>"02.236/001/2025"</f>
        <v>02.236/001/2025</v>
      </c>
      <c r="B346" s="4" t="str">
        <f>"Do Care - Gesund führen - sich und andere"</f>
        <v>Do Care - Gesund führen - sich und andere</v>
      </c>
      <c r="C346" s="5">
        <v>45993</v>
      </c>
      <c r="D346" s="5">
        <v>45994</v>
      </c>
      <c r="E346" s="4" t="str">
        <f t="shared" si="12"/>
        <v>2 Tage</v>
      </c>
      <c r="F346" s="17">
        <v>560</v>
      </c>
      <c r="G346" s="4"/>
      <c r="H346" s="4" t="s">
        <v>11</v>
      </c>
    </row>
    <row r="347" spans="1:8" x14ac:dyDescent="0.2">
      <c r="A347" s="4" t="str">
        <f>"02.310/001/2025"</f>
        <v>02.310/001/2025</v>
      </c>
      <c r="B347" s="4" t="str">
        <f>"Life Balance"</f>
        <v>Life Balance</v>
      </c>
      <c r="C347" s="5">
        <v>45761</v>
      </c>
      <c r="D347" s="5">
        <v>45762</v>
      </c>
      <c r="E347" s="4" t="str">
        <f t="shared" si="12"/>
        <v>2 Tage</v>
      </c>
      <c r="F347" s="17">
        <v>430</v>
      </c>
      <c r="G347" s="4" t="s">
        <v>17</v>
      </c>
      <c r="H347" s="4" t="s">
        <v>11</v>
      </c>
    </row>
    <row r="348" spans="1:8" x14ac:dyDescent="0.2">
      <c r="A348" s="4" t="str">
        <f>"02.310/002/2025"</f>
        <v>02.310/002/2025</v>
      </c>
      <c r="B348" s="4" t="str">
        <f>"Life Balance"</f>
        <v>Life Balance</v>
      </c>
      <c r="C348" s="5">
        <v>45852</v>
      </c>
      <c r="D348" s="5">
        <v>45853</v>
      </c>
      <c r="E348" s="4" t="str">
        <f t="shared" si="12"/>
        <v>2 Tage</v>
      </c>
      <c r="F348" s="17">
        <v>430</v>
      </c>
      <c r="G348" s="4" t="s">
        <v>17</v>
      </c>
      <c r="H348" s="4" t="s">
        <v>11</v>
      </c>
    </row>
    <row r="349" spans="1:8" x14ac:dyDescent="0.2">
      <c r="A349" s="4" t="str">
        <f>"02.315/001/2025"</f>
        <v>02.315/001/2025</v>
      </c>
      <c r="B349" s="4" t="str">
        <f>"Risikofaktor Perfektionismus: Gut, besser, perfekt - krank?"</f>
        <v>Risikofaktor Perfektionismus: Gut, besser, perfekt - krank?</v>
      </c>
      <c r="C349" s="5">
        <v>45708</v>
      </c>
      <c r="D349" s="5">
        <v>45709</v>
      </c>
      <c r="E349" s="4" t="str">
        <f t="shared" si="12"/>
        <v>2 Tage</v>
      </c>
      <c r="F349" s="17">
        <v>490</v>
      </c>
      <c r="G349" s="4" t="s">
        <v>17</v>
      </c>
      <c r="H349" s="4" t="s">
        <v>11</v>
      </c>
    </row>
    <row r="350" spans="1:8" x14ac:dyDescent="0.2">
      <c r="A350" s="4" t="str">
        <f>"02.315/003/2025"</f>
        <v>02.315/003/2025</v>
      </c>
      <c r="B350" s="4" t="str">
        <f>"Risikofaktor Perfektionismus: Gut, besser, perfekt - krank?"</f>
        <v>Risikofaktor Perfektionismus: Gut, besser, perfekt - krank?</v>
      </c>
      <c r="C350" s="5">
        <v>45992</v>
      </c>
      <c r="D350" s="5">
        <v>45993</v>
      </c>
      <c r="E350" s="4" t="str">
        <f t="shared" si="12"/>
        <v>2 Tage</v>
      </c>
      <c r="F350" s="17">
        <v>490</v>
      </c>
      <c r="G350" s="4" t="s">
        <v>17</v>
      </c>
      <c r="H350" s="4" t="s">
        <v>11</v>
      </c>
    </row>
    <row r="351" spans="1:8" x14ac:dyDescent="0.2">
      <c r="A351" s="4" t="str">
        <f>"02.320/001/2025"</f>
        <v>02.320/001/2025</v>
      </c>
      <c r="B351" s="4" t="str">
        <f>"Persönliche Stärken entwickeln"</f>
        <v>Persönliche Stärken entwickeln</v>
      </c>
      <c r="C351" s="5">
        <v>45896</v>
      </c>
      <c r="D351" s="5">
        <v>46136</v>
      </c>
      <c r="E351" s="4" t="str">
        <f>"1x2 Tage, 1x1 Tag"</f>
        <v>1x2 Tage, 1x1 Tag</v>
      </c>
      <c r="F351" s="17">
        <v>710</v>
      </c>
      <c r="G351" s="4"/>
      <c r="H351" s="4" t="s">
        <v>11</v>
      </c>
    </row>
    <row r="352" spans="1:8" x14ac:dyDescent="0.2">
      <c r="A352" s="4" t="str">
        <f>"02.320/001 a/2025"</f>
        <v>02.320/001 a/2025</v>
      </c>
      <c r="B352" s="4" t="str">
        <f>"Persönliche Stärken entwickeln "</f>
        <v xml:space="preserve">Persönliche Stärken entwickeln </v>
      </c>
      <c r="C352" s="5">
        <v>45896</v>
      </c>
      <c r="D352" s="5">
        <v>45897</v>
      </c>
      <c r="E352" s="4"/>
      <c r="F352" s="17"/>
      <c r="G352" s="4" t="s">
        <v>17</v>
      </c>
      <c r="H352" s="4" t="s">
        <v>11</v>
      </c>
    </row>
    <row r="353" spans="1:8" x14ac:dyDescent="0.2">
      <c r="A353" s="4" t="str">
        <f>"02.320/001 b/2025"</f>
        <v>02.320/001 b/2025</v>
      </c>
      <c r="B353" s="4" t="str">
        <f>"Persönliche Stärken entwickeln "</f>
        <v xml:space="preserve">Persönliche Stärken entwickeln </v>
      </c>
      <c r="C353" s="5">
        <v>46136</v>
      </c>
      <c r="D353" s="5">
        <v>46136</v>
      </c>
      <c r="E353" s="4"/>
      <c r="F353" s="17"/>
      <c r="G353" s="4" t="s">
        <v>17</v>
      </c>
      <c r="H353" s="4" t="s">
        <v>11</v>
      </c>
    </row>
    <row r="354" spans="1:8" x14ac:dyDescent="0.2">
      <c r="A354" s="4" t="str">
        <f>"02.320/002/2025"</f>
        <v>02.320/002/2025</v>
      </c>
      <c r="B354" s="4" t="str">
        <f>"Persönliche Stärken entwickeln"</f>
        <v>Persönliche Stärken entwickeln</v>
      </c>
      <c r="C354" s="5">
        <v>45957</v>
      </c>
      <c r="D354" s="5">
        <v>46164</v>
      </c>
      <c r="E354" s="4" t="str">
        <f>"1x2 Tage, 1x1 Tag"</f>
        <v>1x2 Tage, 1x1 Tag</v>
      </c>
      <c r="F354" s="17">
        <v>710</v>
      </c>
      <c r="G354" s="4"/>
      <c r="H354" s="4" t="s">
        <v>11</v>
      </c>
    </row>
    <row r="355" spans="1:8" x14ac:dyDescent="0.2">
      <c r="A355" s="4" t="str">
        <f>"02.320/002 a/2025"</f>
        <v>02.320/002 a/2025</v>
      </c>
      <c r="B355" s="4" t="str">
        <f>"Persönliche Stärken entwickeln "</f>
        <v xml:space="preserve">Persönliche Stärken entwickeln </v>
      </c>
      <c r="C355" s="5">
        <v>45957</v>
      </c>
      <c r="D355" s="5">
        <v>45958</v>
      </c>
      <c r="E355" s="4"/>
      <c r="F355" s="17"/>
      <c r="G355" s="4" t="s">
        <v>17</v>
      </c>
      <c r="H355" s="4" t="s">
        <v>11</v>
      </c>
    </row>
    <row r="356" spans="1:8" x14ac:dyDescent="0.2">
      <c r="A356" s="4" t="str">
        <f>"02.320/002 b/2025"</f>
        <v>02.320/002 b/2025</v>
      </c>
      <c r="B356" s="4" t="str">
        <f>"Persönliche Stärken entwickeln "</f>
        <v xml:space="preserve">Persönliche Stärken entwickeln </v>
      </c>
      <c r="C356" s="5">
        <v>46164</v>
      </c>
      <c r="D356" s="5">
        <v>46164</v>
      </c>
      <c r="E356" s="4"/>
      <c r="F356" s="17"/>
      <c r="G356" s="4" t="s">
        <v>17</v>
      </c>
      <c r="H356" s="4" t="s">
        <v>11</v>
      </c>
    </row>
    <row r="357" spans="1:8" x14ac:dyDescent="0.2">
      <c r="A357" s="4" t="str">
        <f>"02.330/001/2025"</f>
        <v>02.330/001/2025</v>
      </c>
      <c r="B357" s="4" t="str">
        <f>"Stress und Arbeitsbelastung erfolgreich bewältigen"</f>
        <v>Stress und Arbeitsbelastung erfolgreich bewältigen</v>
      </c>
      <c r="C357" s="5">
        <v>45684</v>
      </c>
      <c r="D357" s="5">
        <v>45686</v>
      </c>
      <c r="E357" s="4" t="str">
        <f>"3 Tage"</f>
        <v>3 Tage</v>
      </c>
      <c r="F357" s="17">
        <v>980</v>
      </c>
      <c r="G357" s="4" t="s">
        <v>17</v>
      </c>
      <c r="H357" s="4" t="s">
        <v>11</v>
      </c>
    </row>
    <row r="358" spans="1:8" x14ac:dyDescent="0.2">
      <c r="A358" s="4" t="str">
        <f>"02.335/001/2025"</f>
        <v>02.335/001/2025</v>
      </c>
      <c r="B358" s="4" t="str">
        <f>"Sicher handeln in ungewissen Zeiten"</f>
        <v>Sicher handeln in ungewissen Zeiten</v>
      </c>
      <c r="C358" s="5">
        <v>45666</v>
      </c>
      <c r="D358" s="5">
        <v>45667</v>
      </c>
      <c r="E358" s="4" t="str">
        <f>"2 Tage"</f>
        <v>2 Tage</v>
      </c>
      <c r="F358" s="17">
        <v>490</v>
      </c>
      <c r="G358" s="4" t="s">
        <v>17</v>
      </c>
      <c r="H358" s="4" t="s">
        <v>11</v>
      </c>
    </row>
    <row r="359" spans="1:8" x14ac:dyDescent="0.2">
      <c r="A359" s="4" t="str">
        <f>"02.345/001/2025"</f>
        <v>02.345/001/2025</v>
      </c>
      <c r="B359" s="4" t="str">
        <f>"Mit Arbeitsbelastung, Zeitdruck und Stress umgehen"</f>
        <v>Mit Arbeitsbelastung, Zeitdruck und Stress umgehen</v>
      </c>
      <c r="C359" s="5">
        <v>45686</v>
      </c>
      <c r="D359" s="5">
        <v>45688</v>
      </c>
      <c r="E359" s="4" t="str">
        <f>"3 Tage"</f>
        <v>3 Tage</v>
      </c>
      <c r="F359" s="17">
        <v>760</v>
      </c>
      <c r="G359" s="4" t="s">
        <v>17</v>
      </c>
      <c r="H359" s="4" t="s">
        <v>11</v>
      </c>
    </row>
    <row r="360" spans="1:8" x14ac:dyDescent="0.2">
      <c r="A360" s="4" t="str">
        <f>"02.360/002/2025"</f>
        <v>02.360/002/2025</v>
      </c>
      <c r="B360" s="4" t="str">
        <f>"Aus der Praxis für die Praxis: Gesund und fit bei der Büroarbeit  "</f>
        <v xml:space="preserve">Aus der Praxis für die Praxis: Gesund und fit bei der Büroarbeit  </v>
      </c>
      <c r="C360" s="5">
        <v>45810</v>
      </c>
      <c r="D360" s="5">
        <v>45811</v>
      </c>
      <c r="E360" s="4" t="str">
        <f>"2 Tage"</f>
        <v>2 Tage</v>
      </c>
      <c r="F360" s="17">
        <v>760</v>
      </c>
      <c r="G360" s="4" t="s">
        <v>17</v>
      </c>
      <c r="H360" s="4" t="s">
        <v>11</v>
      </c>
    </row>
    <row r="361" spans="1:8" x14ac:dyDescent="0.2">
      <c r="A361" s="4" t="str">
        <f>"02.360/003/2025"</f>
        <v>02.360/003/2025</v>
      </c>
      <c r="B361" s="4" t="str">
        <f>"Aus der Praxis für die Praxis: Gesund und fit bei der Büroarbeit"</f>
        <v>Aus der Praxis für die Praxis: Gesund und fit bei der Büroarbeit</v>
      </c>
      <c r="C361" s="5">
        <v>45978</v>
      </c>
      <c r="D361" s="5">
        <v>45979</v>
      </c>
      <c r="E361" s="4" t="str">
        <f>"2 Tage"</f>
        <v>2 Tage</v>
      </c>
      <c r="F361" s="17">
        <v>760</v>
      </c>
      <c r="G361" s="4" t="s">
        <v>17</v>
      </c>
      <c r="H361" s="4" t="s">
        <v>11</v>
      </c>
    </row>
    <row r="362" spans="1:8" x14ac:dyDescent="0.2">
      <c r="A362" s="4" t="str">
        <f>"02.365/002/2025"</f>
        <v>02.365/002/2025</v>
      </c>
      <c r="B362" s="4" t="str">
        <f>"Geistige und körperliche Fitness"</f>
        <v>Geistige und körperliche Fitness</v>
      </c>
      <c r="C362" s="5">
        <v>45848</v>
      </c>
      <c r="D362" s="5">
        <v>45849</v>
      </c>
      <c r="E362" s="4" t="str">
        <f>"2 Tage"</f>
        <v>2 Tage</v>
      </c>
      <c r="F362" s="17">
        <v>490</v>
      </c>
      <c r="G362" s="4" t="s">
        <v>17</v>
      </c>
      <c r="H362" s="4" t="s">
        <v>11</v>
      </c>
    </row>
    <row r="363" spans="1:8" x14ac:dyDescent="0.2">
      <c r="A363" s="4" t="str">
        <f>"02.365/003/2025"</f>
        <v>02.365/003/2025</v>
      </c>
      <c r="B363" s="4" t="str">
        <f>"Geistige und körperliche Fitness"</f>
        <v>Geistige und körperliche Fitness</v>
      </c>
      <c r="C363" s="5">
        <v>46006</v>
      </c>
      <c r="D363" s="5">
        <v>46007</v>
      </c>
      <c r="E363" s="4" t="str">
        <f>"2 Tage"</f>
        <v>2 Tage</v>
      </c>
      <c r="F363" s="17">
        <v>490</v>
      </c>
      <c r="G363" s="4" t="s">
        <v>17</v>
      </c>
      <c r="H363" s="4" t="s">
        <v>11</v>
      </c>
    </row>
    <row r="364" spans="1:8" x14ac:dyDescent="0.2">
      <c r="A364" s="4" t="str">
        <f>"02.370/001/2025"</f>
        <v>02.370/001/2025</v>
      </c>
      <c r="B364" s="4" t="str">
        <f>"Ohne Probleme besser sehen - ein Seminar für Mitarbeiter mit Office-Eye-Syndrom"</f>
        <v>Ohne Probleme besser sehen - ein Seminar für Mitarbeiter mit Office-Eye-Syndrom</v>
      </c>
      <c r="C364" s="5">
        <v>45796</v>
      </c>
      <c r="D364" s="5">
        <v>45796</v>
      </c>
      <c r="E364" s="4" t="str">
        <f>"1 Tag"</f>
        <v>1 Tag</v>
      </c>
      <c r="F364" s="17">
        <v>220</v>
      </c>
      <c r="G364" s="4" t="s">
        <v>17</v>
      </c>
      <c r="H364" s="4" t="s">
        <v>11</v>
      </c>
    </row>
    <row r="365" spans="1:8" x14ac:dyDescent="0.2">
      <c r="A365" s="4" t="str">
        <f>"02.410/001/2025"</f>
        <v>02.410/001/2025</v>
      </c>
      <c r="B365" s="4" t="str">
        <f>"Willensstark und motiviert zum Ziel - Selbstmanagement mithilfe des Zürcher Ressourcen-Modells (ZRM) "</f>
        <v xml:space="preserve">Willensstark und motiviert zum Ziel - Selbstmanagement mithilfe des Zürcher Ressourcen-Modells (ZRM) </v>
      </c>
      <c r="C365" s="5">
        <v>45726</v>
      </c>
      <c r="D365" s="5">
        <v>45727</v>
      </c>
      <c r="E365" s="4" t="str">
        <f t="shared" ref="E365:E378" si="13">"2 Tage"</f>
        <v>2 Tage</v>
      </c>
      <c r="F365" s="17">
        <v>430</v>
      </c>
      <c r="G365" s="4" t="s">
        <v>17</v>
      </c>
      <c r="H365" s="4" t="s">
        <v>11</v>
      </c>
    </row>
    <row r="366" spans="1:8" x14ac:dyDescent="0.2">
      <c r="A366" s="4" t="str">
        <f>"02.410/002/2025"</f>
        <v>02.410/002/2025</v>
      </c>
      <c r="B366" s="4" t="str">
        <f>"Willensstark und motiviert zum Ziel - Selbstmanagement mithilfe des Zürcher Ressourcen-Modells (ZRM) "</f>
        <v xml:space="preserve">Willensstark und motiviert zum Ziel - Selbstmanagement mithilfe des Zürcher Ressourcen-Modells (ZRM) </v>
      </c>
      <c r="C366" s="5">
        <v>45979</v>
      </c>
      <c r="D366" s="5">
        <v>45980</v>
      </c>
      <c r="E366" s="4" t="str">
        <f t="shared" si="13"/>
        <v>2 Tage</v>
      </c>
      <c r="F366" s="17">
        <v>430</v>
      </c>
      <c r="G366" s="4" t="s">
        <v>17</v>
      </c>
      <c r="H366" s="4" t="s">
        <v>11</v>
      </c>
    </row>
    <row r="367" spans="1:8" x14ac:dyDescent="0.2">
      <c r="A367" s="4" t="str">
        <f>"02.430/001/2025"</f>
        <v>02.430/001/2025</v>
      </c>
      <c r="B367" s="4" t="str">
        <f>"Workshop: Meine Krafttankstelle auffüllen"</f>
        <v>Workshop: Meine Krafttankstelle auffüllen</v>
      </c>
      <c r="C367" s="5">
        <v>45845</v>
      </c>
      <c r="D367" s="5">
        <v>45846</v>
      </c>
      <c r="E367" s="4" t="str">
        <f t="shared" si="13"/>
        <v>2 Tage</v>
      </c>
      <c r="F367" s="17">
        <v>490</v>
      </c>
      <c r="G367" s="4" t="s">
        <v>17</v>
      </c>
      <c r="H367" s="4" t="s">
        <v>11</v>
      </c>
    </row>
    <row r="368" spans="1:8" x14ac:dyDescent="0.2">
      <c r="A368" s="4" t="str">
        <f>"02.435/001/2025"</f>
        <v>02.435/001/2025</v>
      </c>
      <c r="B368" s="4" t="str">
        <f>"Resilienz - kontinuierlich und nachhaltig an der eigenen inneren Stärke arbeiten"</f>
        <v>Resilienz - kontinuierlich und nachhaltig an der eigenen inneren Stärke arbeiten</v>
      </c>
      <c r="C368" s="5">
        <v>45743</v>
      </c>
      <c r="D368" s="5">
        <v>45744</v>
      </c>
      <c r="E368" s="4" t="str">
        <f t="shared" si="13"/>
        <v>2 Tage</v>
      </c>
      <c r="F368" s="17">
        <v>490</v>
      </c>
      <c r="G368" s="4" t="s">
        <v>17</v>
      </c>
      <c r="H368" s="4" t="s">
        <v>11</v>
      </c>
    </row>
    <row r="369" spans="1:8" x14ac:dyDescent="0.2">
      <c r="A369" s="4" t="str">
        <f>"02.435/002/2025"</f>
        <v>02.435/002/2025</v>
      </c>
      <c r="B369" s="4" t="str">
        <f>"Resilienz - kontinuierlich und nachhaltig an der eigenen inneren Stärke arbeiten"</f>
        <v>Resilienz - kontinuierlich und nachhaltig an der eigenen inneren Stärke arbeiten</v>
      </c>
      <c r="C369" s="5">
        <v>45838</v>
      </c>
      <c r="D369" s="5">
        <v>45839</v>
      </c>
      <c r="E369" s="4" t="str">
        <f t="shared" si="13"/>
        <v>2 Tage</v>
      </c>
      <c r="F369" s="17">
        <v>490</v>
      </c>
      <c r="G369" s="4" t="s">
        <v>17</v>
      </c>
      <c r="H369" s="4" t="s">
        <v>11</v>
      </c>
    </row>
    <row r="370" spans="1:8" x14ac:dyDescent="0.2">
      <c r="A370" s="4" t="str">
        <f>"02.440/001/2025"</f>
        <v>02.440/001/2025</v>
      </c>
      <c r="B370" s="4" t="str">
        <f>"Ab jetzt entspannt - das Gelassenheitstraining für den Arbeitsdschungel"</f>
        <v>Ab jetzt entspannt - das Gelassenheitstraining für den Arbeitsdschungel</v>
      </c>
      <c r="C370" s="5">
        <v>45722</v>
      </c>
      <c r="D370" s="5">
        <v>45723</v>
      </c>
      <c r="E370" s="4" t="str">
        <f t="shared" si="13"/>
        <v>2 Tage</v>
      </c>
      <c r="F370" s="17">
        <v>490</v>
      </c>
      <c r="G370" s="4" t="s">
        <v>17</v>
      </c>
      <c r="H370" s="4" t="s">
        <v>11</v>
      </c>
    </row>
    <row r="371" spans="1:8" x14ac:dyDescent="0.2">
      <c r="A371" s="4" t="str">
        <f>"02.440/002/2025"</f>
        <v>02.440/002/2025</v>
      </c>
      <c r="B371" s="4" t="str">
        <f>"Ab jetzt entspannt - das Gelassenheitstraining für den Arbeitsdschungel"</f>
        <v>Ab jetzt entspannt - das Gelassenheitstraining für den Arbeitsdschungel</v>
      </c>
      <c r="C371" s="5">
        <v>45855</v>
      </c>
      <c r="D371" s="5">
        <v>45856</v>
      </c>
      <c r="E371" s="4" t="str">
        <f t="shared" si="13"/>
        <v>2 Tage</v>
      </c>
      <c r="F371" s="17">
        <v>490</v>
      </c>
      <c r="G371" s="4" t="s">
        <v>17</v>
      </c>
      <c r="H371" s="4" t="s">
        <v>11</v>
      </c>
    </row>
    <row r="372" spans="1:8" x14ac:dyDescent="0.2">
      <c r="A372" s="4" t="str">
        <f>"02.440/004/2025"</f>
        <v>02.440/004/2025</v>
      </c>
      <c r="B372" s="4" t="str">
        <f>"Ab jetzt entspannt - das Gelassenheitstraining für den Arbeitsdschungel"</f>
        <v>Ab jetzt entspannt - das Gelassenheitstraining für den Arbeitsdschungel</v>
      </c>
      <c r="C372" s="5">
        <v>45967</v>
      </c>
      <c r="D372" s="5">
        <v>45968</v>
      </c>
      <c r="E372" s="4" t="str">
        <f t="shared" si="13"/>
        <v>2 Tage</v>
      </c>
      <c r="F372" s="17">
        <v>490</v>
      </c>
      <c r="G372" s="4" t="s">
        <v>17</v>
      </c>
      <c r="H372" s="4" t="s">
        <v>11</v>
      </c>
    </row>
    <row r="373" spans="1:8" x14ac:dyDescent="0.2">
      <c r="A373" s="4" t="str">
        <f>"02.442/001/2025"</f>
        <v>02.442/001/2025</v>
      </c>
      <c r="B373" s="4" t="str">
        <f>"Der Angst begegnen - in Krisenzeiten Gelassenheit im Beruf und Alltag bewahren"</f>
        <v>Der Angst begegnen - in Krisenzeiten Gelassenheit im Beruf und Alltag bewahren</v>
      </c>
      <c r="C373" s="5">
        <v>45950</v>
      </c>
      <c r="D373" s="5">
        <v>45951</v>
      </c>
      <c r="E373" s="4" t="str">
        <f t="shared" si="13"/>
        <v>2 Tage</v>
      </c>
      <c r="F373" s="17">
        <v>490</v>
      </c>
      <c r="G373" s="4" t="s">
        <v>17</v>
      </c>
      <c r="H373" s="4" t="s">
        <v>11</v>
      </c>
    </row>
    <row r="374" spans="1:8" x14ac:dyDescent="0.2">
      <c r="A374" s="4" t="str">
        <f>"02.445/001/2025"</f>
        <v>02.445/001/2025</v>
      </c>
      <c r="B374" s="4" t="str">
        <f>"Gelassen und optimal leistungsfähig bleiben"</f>
        <v>Gelassen und optimal leistungsfähig bleiben</v>
      </c>
      <c r="C374" s="5">
        <v>45820</v>
      </c>
      <c r="D374" s="5">
        <v>45821</v>
      </c>
      <c r="E374" s="4" t="str">
        <f t="shared" si="13"/>
        <v>2 Tage</v>
      </c>
      <c r="F374" s="17">
        <v>490</v>
      </c>
      <c r="G374" s="4" t="s">
        <v>17</v>
      </c>
      <c r="H374" s="4" t="s">
        <v>11</v>
      </c>
    </row>
    <row r="375" spans="1:8" x14ac:dyDescent="0.2">
      <c r="A375" s="4" t="str">
        <f>"02.450/001/2025"</f>
        <v>02.450/001/2025</v>
      </c>
      <c r="B375" s="4" t="str">
        <f>"Mentales Aktivierungstraining - so erhöhen Sie Ihre geistige Leistungsfähigkeit"</f>
        <v>Mentales Aktivierungstraining - so erhöhen Sie Ihre geistige Leistungsfähigkeit</v>
      </c>
      <c r="C375" s="5">
        <v>45747</v>
      </c>
      <c r="D375" s="5">
        <v>45748</v>
      </c>
      <c r="E375" s="4" t="str">
        <f t="shared" si="13"/>
        <v>2 Tage</v>
      </c>
      <c r="F375" s="17">
        <v>490</v>
      </c>
      <c r="G375" s="4" t="s">
        <v>17</v>
      </c>
      <c r="H375" s="4" t="s">
        <v>11</v>
      </c>
    </row>
    <row r="376" spans="1:8" x14ac:dyDescent="0.2">
      <c r="A376" s="4" t="str">
        <f>"02.455/001/2025"</f>
        <v>02.455/001/2025</v>
      </c>
      <c r="B376" s="4" t="str">
        <f>"Achtsamkeit als Quelle eigener Ressourcen - wie mir meine Arbeit besser gelingt"</f>
        <v>Achtsamkeit als Quelle eigener Ressourcen - wie mir meine Arbeit besser gelingt</v>
      </c>
      <c r="C376" s="5">
        <v>45743</v>
      </c>
      <c r="D376" s="5">
        <v>45744</v>
      </c>
      <c r="E376" s="4" t="str">
        <f t="shared" si="13"/>
        <v>2 Tage</v>
      </c>
      <c r="F376" s="17">
        <v>490</v>
      </c>
      <c r="G376" s="4" t="s">
        <v>17</v>
      </c>
      <c r="H376" s="4" t="s">
        <v>11</v>
      </c>
    </row>
    <row r="377" spans="1:8" x14ac:dyDescent="0.2">
      <c r="A377" s="4" t="str">
        <f>"02.455/002/2025"</f>
        <v>02.455/002/2025</v>
      </c>
      <c r="B377" s="4" t="str">
        <f>"Achtsamkeit als Quelle eigener Ressourcen - wie mir meine Arbeit besser gelingt"</f>
        <v>Achtsamkeit als Quelle eigener Ressourcen - wie mir meine Arbeit besser gelingt</v>
      </c>
      <c r="C377" s="5">
        <v>45799</v>
      </c>
      <c r="D377" s="5">
        <v>45800</v>
      </c>
      <c r="E377" s="4" t="str">
        <f t="shared" si="13"/>
        <v>2 Tage</v>
      </c>
      <c r="F377" s="17">
        <v>490</v>
      </c>
      <c r="G377" s="4" t="s">
        <v>17</v>
      </c>
      <c r="H377" s="4" t="s">
        <v>11</v>
      </c>
    </row>
    <row r="378" spans="1:8" x14ac:dyDescent="0.2">
      <c r="A378" s="4" t="str">
        <f>"02.460/001/2025"</f>
        <v>02.460/001/2025</v>
      </c>
      <c r="B378" s="4" t="str">
        <f>"Workshop: Ressource Ich"</f>
        <v>Workshop: Ressource Ich</v>
      </c>
      <c r="C378" s="5">
        <v>45701</v>
      </c>
      <c r="D378" s="5">
        <v>45702</v>
      </c>
      <c r="E378" s="4" t="str">
        <f t="shared" si="13"/>
        <v>2 Tage</v>
      </c>
      <c r="F378" s="17">
        <v>490</v>
      </c>
      <c r="G378" s="4" t="s">
        <v>17</v>
      </c>
      <c r="H378" s="4" t="s">
        <v>11</v>
      </c>
    </row>
    <row r="379" spans="1:8" x14ac:dyDescent="0.2">
      <c r="A379" s="4" t="str">
        <f>"02.465/001/2025"</f>
        <v>02.465/001/2025</v>
      </c>
      <c r="B379" s="4" t="str">
        <f>"Burn-on - Immer Vollgas und kurz vor dem ausbrennen - Burn-on als Form des Dauerstresses begegnen"</f>
        <v>Burn-on - Immer Vollgas und kurz vor dem ausbrennen - Burn-on als Form des Dauerstresses begegnen</v>
      </c>
      <c r="C379" s="5">
        <v>45915</v>
      </c>
      <c r="D379" s="5">
        <v>45916</v>
      </c>
      <c r="E379" s="4" t="s">
        <v>12</v>
      </c>
      <c r="F379" s="17">
        <v>490</v>
      </c>
      <c r="G379" s="4" t="s">
        <v>17</v>
      </c>
      <c r="H379" s="4" t="s">
        <v>11</v>
      </c>
    </row>
    <row r="380" spans="1:8" x14ac:dyDescent="0.2">
      <c r="A380" s="4" t="str">
        <f>"02.470/001/2025"</f>
        <v>02.470/001/2025</v>
      </c>
      <c r="B380" s="4" t="str">
        <f>"Die Macht der Verantwortung - wie man Kontrolle über sein Leben zurückgewinnt und behält"</f>
        <v>Die Macht der Verantwortung - wie man Kontrolle über sein Leben zurückgewinnt und behält</v>
      </c>
      <c r="C380" s="5">
        <v>45750</v>
      </c>
      <c r="D380" s="5">
        <v>45751</v>
      </c>
      <c r="E380" s="4" t="str">
        <f>"2 Tage"</f>
        <v>2 Tage</v>
      </c>
      <c r="F380" s="17">
        <v>450</v>
      </c>
      <c r="G380" s="4" t="s">
        <v>17</v>
      </c>
      <c r="H380" s="4" t="s">
        <v>11</v>
      </c>
    </row>
    <row r="381" spans="1:8" x14ac:dyDescent="0.2">
      <c r="A381" s="4" t="str">
        <f>"02.510/001/2025"</f>
        <v>02.510/001/2025</v>
      </c>
      <c r="B381" s="4" t="str">
        <f>"Mit Werten dem (Berufs-)Leben Richtung geben"</f>
        <v>Mit Werten dem (Berufs-)Leben Richtung geben</v>
      </c>
      <c r="C381" s="5">
        <v>45818</v>
      </c>
      <c r="D381" s="5">
        <v>45819</v>
      </c>
      <c r="E381" s="4" t="str">
        <f>"2 Tage "</f>
        <v xml:space="preserve">2 Tage </v>
      </c>
      <c r="F381" s="17">
        <v>630</v>
      </c>
      <c r="G381" s="4" t="s">
        <v>17</v>
      </c>
      <c r="H381" s="4" t="s">
        <v>11</v>
      </c>
    </row>
    <row r="382" spans="1:8" x14ac:dyDescent="0.2">
      <c r="A382" s="4" t="str">
        <f>"02.520/001/2025"</f>
        <v>02.520/001/2025</v>
      </c>
      <c r="B382" s="4" t="str">
        <f>"Wertschätzender Umgang mit Kolleginnen und Kollegen"</f>
        <v>Wertschätzender Umgang mit Kolleginnen und Kollegen</v>
      </c>
      <c r="C382" s="5">
        <v>45957</v>
      </c>
      <c r="D382" s="5">
        <v>45958</v>
      </c>
      <c r="E382" s="4" t="str">
        <f t="shared" ref="E382:E391" si="14">"2 Tage"</f>
        <v>2 Tage</v>
      </c>
      <c r="F382" s="17">
        <v>490</v>
      </c>
      <c r="G382" s="4" t="s">
        <v>17</v>
      </c>
      <c r="H382" s="4" t="s">
        <v>11</v>
      </c>
    </row>
    <row r="383" spans="1:8" x14ac:dyDescent="0.2">
      <c r="A383" s="4" t="str">
        <f>"02.535/001/2025"</f>
        <v>02.535/001/2025</v>
      </c>
      <c r="B383" s="4" t="str">
        <f>"Der Weg raus aus negativen Gedankenschleifen - gut für Beruf und Alltag"</f>
        <v>Der Weg raus aus negativen Gedankenschleifen - gut für Beruf und Alltag</v>
      </c>
      <c r="C383" s="5">
        <v>45736</v>
      </c>
      <c r="D383" s="5">
        <v>45737</v>
      </c>
      <c r="E383" s="4" t="str">
        <f t="shared" si="14"/>
        <v>2 Tage</v>
      </c>
      <c r="F383" s="17">
        <v>450</v>
      </c>
      <c r="G383" s="4" t="s">
        <v>17</v>
      </c>
      <c r="H383" s="4" t="s">
        <v>11</v>
      </c>
    </row>
    <row r="384" spans="1:8" x14ac:dyDescent="0.2">
      <c r="A384" s="4" t="str">
        <f>"02.535/002/2025"</f>
        <v>02.535/002/2025</v>
      </c>
      <c r="B384" s="4" t="str">
        <f>"Der Weg raus aus negativen Gedankenschleifen - gut für Beruf und Alltag"</f>
        <v>Der Weg raus aus negativen Gedankenschleifen - gut für Beruf und Alltag</v>
      </c>
      <c r="C384" s="5">
        <v>45936</v>
      </c>
      <c r="D384" s="5">
        <v>45937</v>
      </c>
      <c r="E384" s="4" t="str">
        <f t="shared" si="14"/>
        <v>2 Tage</v>
      </c>
      <c r="F384" s="17">
        <v>450</v>
      </c>
      <c r="G384" s="4" t="s">
        <v>17</v>
      </c>
      <c r="H384" s="4" t="s">
        <v>11</v>
      </c>
    </row>
    <row r="385" spans="1:8" x14ac:dyDescent="0.2">
      <c r="A385" s="4" t="str">
        <f>"02.610/001/2025"</f>
        <v>02.610/001/2025</v>
      </c>
      <c r="B385" s="4" t="str">
        <f>"Vereinbarkeit von Beruf und Familie - ein Seminar für Eltern"</f>
        <v>Vereinbarkeit von Beruf und Familie - ein Seminar für Eltern</v>
      </c>
      <c r="C385" s="5">
        <v>45713</v>
      </c>
      <c r="D385" s="5">
        <v>45714</v>
      </c>
      <c r="E385" s="4" t="str">
        <f t="shared" si="14"/>
        <v>2 Tage</v>
      </c>
      <c r="F385" s="17">
        <v>490</v>
      </c>
      <c r="G385" s="4" t="s">
        <v>17</v>
      </c>
      <c r="H385" s="4" t="s">
        <v>11</v>
      </c>
    </row>
    <row r="386" spans="1:8" x14ac:dyDescent="0.2">
      <c r="A386" s="4" t="str">
        <f>"02.610/002/2025"</f>
        <v>02.610/002/2025</v>
      </c>
      <c r="B386" s="4" t="str">
        <f>"Vereinbarkeit von Beruf und Familie - ein Seminar für Eltern"</f>
        <v>Vereinbarkeit von Beruf und Familie - ein Seminar für Eltern</v>
      </c>
      <c r="C386" s="5">
        <v>45911</v>
      </c>
      <c r="D386" s="5">
        <v>45912</v>
      </c>
      <c r="E386" s="4" t="str">
        <f t="shared" si="14"/>
        <v>2 Tage</v>
      </c>
      <c r="F386" s="17">
        <v>490</v>
      </c>
      <c r="G386" s="4" t="s">
        <v>17</v>
      </c>
      <c r="H386" s="4" t="s">
        <v>11</v>
      </c>
    </row>
    <row r="387" spans="1:8" x14ac:dyDescent="0.2">
      <c r="A387" s="4" t="str">
        <f>"02.612/001/2025"</f>
        <v>02.612/001/2025</v>
      </c>
      <c r="B387" s="4" t="str">
        <f>"Gelassen im Beruf durch Gelassenheit in der Familie - innerfamiliäre Kommunikation und die Auswirkungen auf den beruflichen Alltag"</f>
        <v>Gelassen im Beruf durch Gelassenheit in der Familie - innerfamiliäre Kommunikation und die Auswirkungen auf den beruflichen Alltag</v>
      </c>
      <c r="C387" s="5">
        <v>45910</v>
      </c>
      <c r="D387" s="5">
        <v>45911</v>
      </c>
      <c r="E387" s="4" t="str">
        <f t="shared" si="14"/>
        <v>2 Tage</v>
      </c>
      <c r="F387" s="17">
        <v>490</v>
      </c>
      <c r="G387" s="4" t="s">
        <v>17</v>
      </c>
      <c r="H387" s="4" t="s">
        <v>11</v>
      </c>
    </row>
    <row r="388" spans="1:8" x14ac:dyDescent="0.2">
      <c r="A388" s="4" t="str">
        <f>"02.615/001/2025"</f>
        <v>02.615/001/2025</v>
      </c>
      <c r="B388" s="4" t="str">
        <f>"Life Balance Spezial - Balance finden und halten zwischen beruflicher Leistungsfähigkeit, Gesundheit und Sorge für andere"</f>
        <v>Life Balance Spezial - Balance finden und halten zwischen beruflicher Leistungsfähigkeit, Gesundheit und Sorge für andere</v>
      </c>
      <c r="C388" s="5">
        <v>45742</v>
      </c>
      <c r="D388" s="5">
        <v>45743</v>
      </c>
      <c r="E388" s="4" t="str">
        <f t="shared" si="14"/>
        <v>2 Tage</v>
      </c>
      <c r="F388" s="17">
        <v>430</v>
      </c>
      <c r="G388" s="4" t="s">
        <v>17</v>
      </c>
      <c r="H388" s="4" t="s">
        <v>11</v>
      </c>
    </row>
    <row r="389" spans="1:8" x14ac:dyDescent="0.2">
      <c r="A389" s="4" t="str">
        <f>"02.620/001/2025"</f>
        <v>02.620/001/2025</v>
      </c>
      <c r="B389" s="4" t="str">
        <f>"Wachsen statt welken - gesundes Älterwerden im Beruf"</f>
        <v>Wachsen statt welken - gesundes Älterwerden im Beruf</v>
      </c>
      <c r="C389" s="5">
        <v>45848</v>
      </c>
      <c r="D389" s="5">
        <v>45849</v>
      </c>
      <c r="E389" s="4" t="str">
        <f t="shared" si="14"/>
        <v>2 Tage</v>
      </c>
      <c r="F389" s="17">
        <v>490</v>
      </c>
      <c r="G389" s="4" t="s">
        <v>17</v>
      </c>
      <c r="H389" s="4" t="s">
        <v>11</v>
      </c>
    </row>
    <row r="390" spans="1:8" x14ac:dyDescent="0.2">
      <c r="A390" s="4" t="str">
        <f>"02.630/001/2025"</f>
        <v>02.630/001/2025</v>
      </c>
      <c r="B390" s="4" t="str">
        <f>"Workshop: Mit Schwung in die zweite Lebenshälfte"</f>
        <v>Workshop: Mit Schwung in die zweite Lebenshälfte</v>
      </c>
      <c r="C390" s="5">
        <v>45714</v>
      </c>
      <c r="D390" s="5">
        <v>45715</v>
      </c>
      <c r="E390" s="4" t="str">
        <f t="shared" si="14"/>
        <v>2 Tage</v>
      </c>
      <c r="F390" s="17">
        <v>490</v>
      </c>
      <c r="G390" s="4" t="s">
        <v>17</v>
      </c>
      <c r="H390" s="4" t="s">
        <v>11</v>
      </c>
    </row>
    <row r="391" spans="1:8" x14ac:dyDescent="0.2">
      <c r="A391" s="4" t="str">
        <f>"02.630/002/2025"</f>
        <v>02.630/002/2025</v>
      </c>
      <c r="B391" s="4" t="str">
        <f>"Workshop: Mit Schwung in die zweite Lebenshälfte"</f>
        <v>Workshop: Mit Schwung in die zweite Lebenshälfte</v>
      </c>
      <c r="C391" s="5">
        <v>45868</v>
      </c>
      <c r="D391" s="5">
        <v>45869</v>
      </c>
      <c r="E391" s="4" t="str">
        <f t="shared" si="14"/>
        <v>2 Tage</v>
      </c>
      <c r="F391" s="17">
        <v>490</v>
      </c>
      <c r="G391" s="4" t="s">
        <v>17</v>
      </c>
      <c r="H391" s="4" t="s">
        <v>11</v>
      </c>
    </row>
    <row r="392" spans="1:8" x14ac:dyDescent="0.2">
      <c r="A392" s="4" t="str">
        <f>"03.115/001/2025"</f>
        <v>03.115/001/2025</v>
      </c>
      <c r="B392" s="4" t="str">
        <f>"Grundlagen der Kommunikation im beruflichen Alltag"</f>
        <v>Grundlagen der Kommunikation im beruflichen Alltag</v>
      </c>
      <c r="C392" s="5">
        <v>45698</v>
      </c>
      <c r="D392" s="5">
        <v>45700</v>
      </c>
      <c r="E392" s="4" t="str">
        <f>"3 Tage"</f>
        <v>3 Tage</v>
      </c>
      <c r="F392" s="17">
        <v>760</v>
      </c>
      <c r="G392" s="4" t="s">
        <v>17</v>
      </c>
      <c r="H392" s="4" t="s">
        <v>11</v>
      </c>
    </row>
    <row r="393" spans="1:8" x14ac:dyDescent="0.2">
      <c r="A393" s="4" t="str">
        <f>"03.115/004/2025"</f>
        <v>03.115/004/2025</v>
      </c>
      <c r="B393" s="4" t="str">
        <f>"Grundlagen der Kommunikation im beruflichen Alltag"</f>
        <v>Grundlagen der Kommunikation im beruflichen Alltag</v>
      </c>
      <c r="C393" s="5">
        <v>45945</v>
      </c>
      <c r="D393" s="5">
        <v>45947</v>
      </c>
      <c r="E393" s="4" t="str">
        <f>"3 Tage"</f>
        <v>3 Tage</v>
      </c>
      <c r="F393" s="17">
        <v>760</v>
      </c>
      <c r="G393" s="4" t="s">
        <v>17</v>
      </c>
      <c r="H393" s="4" t="s">
        <v>11</v>
      </c>
    </row>
    <row r="394" spans="1:8" x14ac:dyDescent="0.2">
      <c r="A394" s="4" t="str">
        <f>"03.120/001/2025"</f>
        <v>03.120/001/2025</v>
      </c>
      <c r="B394" s="4" t="str">
        <f>"Sicher im Gespräch - Grundlagen der Gesprächsführung"</f>
        <v>Sicher im Gespräch - Grundlagen der Gesprächsführung</v>
      </c>
      <c r="C394" s="5">
        <v>45782</v>
      </c>
      <c r="D394" s="5">
        <v>45783</v>
      </c>
      <c r="E394" s="4" t="str">
        <f t="shared" ref="E394:E420" si="15">"2 Tage"</f>
        <v>2 Tage</v>
      </c>
      <c r="F394" s="17">
        <v>490</v>
      </c>
      <c r="G394" s="4" t="s">
        <v>17</v>
      </c>
      <c r="H394" s="4" t="s">
        <v>11</v>
      </c>
    </row>
    <row r="395" spans="1:8" x14ac:dyDescent="0.2">
      <c r="A395" s="4" t="str">
        <f>"03.120/002/2025"</f>
        <v>03.120/002/2025</v>
      </c>
      <c r="B395" s="4" t="str">
        <f>"Sicher im Gespräch - Grundlagen der Gesprächsführung"</f>
        <v>Sicher im Gespräch - Grundlagen der Gesprächsführung</v>
      </c>
      <c r="C395" s="5">
        <v>45967</v>
      </c>
      <c r="D395" s="5">
        <v>45968</v>
      </c>
      <c r="E395" s="4" t="str">
        <f t="shared" si="15"/>
        <v>2 Tage</v>
      </c>
      <c r="F395" s="17">
        <v>490</v>
      </c>
      <c r="G395" s="4" t="s">
        <v>17</v>
      </c>
      <c r="H395" s="4" t="s">
        <v>11</v>
      </c>
    </row>
    <row r="396" spans="1:8" x14ac:dyDescent="0.2">
      <c r="A396" s="4" t="str">
        <f>"03.121/001/2025"</f>
        <v>03.121/001/2025</v>
      </c>
      <c r="B396" s="4" t="str">
        <f>"Sicher im Gespräch - Stimme, Körpersprache und Auftreten"</f>
        <v>Sicher im Gespräch - Stimme, Körpersprache und Auftreten</v>
      </c>
      <c r="C396" s="5">
        <v>45694</v>
      </c>
      <c r="D396" s="5">
        <v>45695</v>
      </c>
      <c r="E396" s="4" t="str">
        <f t="shared" si="15"/>
        <v>2 Tage</v>
      </c>
      <c r="F396" s="17">
        <v>490</v>
      </c>
      <c r="G396" s="4" t="s">
        <v>17</v>
      </c>
      <c r="H396" s="4" t="s">
        <v>11</v>
      </c>
    </row>
    <row r="397" spans="1:8" x14ac:dyDescent="0.2">
      <c r="A397" s="4" t="str">
        <f>"03.121/002/2025"</f>
        <v>03.121/002/2025</v>
      </c>
      <c r="B397" s="4" t="str">
        <f>"Sicher im Gespräch - Stimme, Körpersprache und Auftreten"</f>
        <v>Sicher im Gespräch - Stimme, Körpersprache und Auftreten</v>
      </c>
      <c r="C397" s="5">
        <v>45813</v>
      </c>
      <c r="D397" s="5">
        <v>45814</v>
      </c>
      <c r="E397" s="4" t="str">
        <f t="shared" si="15"/>
        <v>2 Tage</v>
      </c>
      <c r="F397" s="17">
        <v>490</v>
      </c>
      <c r="G397" s="4" t="s">
        <v>17</v>
      </c>
      <c r="H397" s="4" t="s">
        <v>11</v>
      </c>
    </row>
    <row r="398" spans="1:8" x14ac:dyDescent="0.2">
      <c r="A398" s="4" t="str">
        <f>"03.121/003/2025"</f>
        <v>03.121/003/2025</v>
      </c>
      <c r="B398" s="4" t="str">
        <f>"Sicher im Gespräch - Stimme, Körpersprache und Auftreten"</f>
        <v>Sicher im Gespräch - Stimme, Körpersprache und Auftreten</v>
      </c>
      <c r="C398" s="5">
        <v>45855</v>
      </c>
      <c r="D398" s="5">
        <v>45856</v>
      </c>
      <c r="E398" s="4" t="str">
        <f t="shared" si="15"/>
        <v>2 Tage</v>
      </c>
      <c r="F398" s="17">
        <v>490</v>
      </c>
      <c r="G398" s="4" t="s">
        <v>17</v>
      </c>
      <c r="H398" s="4" t="s">
        <v>11</v>
      </c>
    </row>
    <row r="399" spans="1:8" x14ac:dyDescent="0.2">
      <c r="A399" s="4" t="str">
        <f>"03.122/001/2025"</f>
        <v>03.122/001/2025</v>
      </c>
      <c r="B399" s="4" t="str">
        <f>"Sicher im Gespräch - Gesprächsführung in schwierigen Situationen"</f>
        <v>Sicher im Gespräch - Gesprächsführung in schwierigen Situationen</v>
      </c>
      <c r="C399" s="5">
        <v>45776</v>
      </c>
      <c r="D399" s="5">
        <v>45777</v>
      </c>
      <c r="E399" s="4" t="str">
        <f t="shared" si="15"/>
        <v>2 Tage</v>
      </c>
      <c r="F399" s="17">
        <v>490</v>
      </c>
      <c r="G399" s="4" t="s">
        <v>17</v>
      </c>
      <c r="H399" s="4" t="s">
        <v>11</v>
      </c>
    </row>
    <row r="400" spans="1:8" x14ac:dyDescent="0.2">
      <c r="A400" s="4" t="str">
        <f>"03.122/002/2025"</f>
        <v>03.122/002/2025</v>
      </c>
      <c r="B400" s="4" t="str">
        <f>"Sicher im Gespräch - Gesprächsführung in schwierigen Situationen"</f>
        <v>Sicher im Gespräch - Gesprächsführung in schwierigen Situationen</v>
      </c>
      <c r="C400" s="5">
        <v>45931</v>
      </c>
      <c r="D400" s="5">
        <v>45932</v>
      </c>
      <c r="E400" s="4" t="str">
        <f t="shared" si="15"/>
        <v>2 Tage</v>
      </c>
      <c r="F400" s="17">
        <v>490</v>
      </c>
      <c r="G400" s="4" t="s">
        <v>17</v>
      </c>
      <c r="H400" s="4" t="s">
        <v>11</v>
      </c>
    </row>
    <row r="401" spans="1:8" x14ac:dyDescent="0.2">
      <c r="A401" s="4" t="str">
        <f>"03.130/001/2025"</f>
        <v>03.130/001/2025</v>
      </c>
      <c r="B401" s="4" t="str">
        <f>"Klartext reden - Selbstbewusst und souverän kommunizieren"</f>
        <v>Klartext reden - Selbstbewusst und souverän kommunizieren</v>
      </c>
      <c r="C401" s="5">
        <v>45754</v>
      </c>
      <c r="D401" s="5">
        <v>45755</v>
      </c>
      <c r="E401" s="4" t="str">
        <f t="shared" si="15"/>
        <v>2 Tage</v>
      </c>
      <c r="F401" s="17">
        <v>490</v>
      </c>
      <c r="G401" s="4" t="s">
        <v>17</v>
      </c>
      <c r="H401" s="4" t="s">
        <v>11</v>
      </c>
    </row>
    <row r="402" spans="1:8" x14ac:dyDescent="0.2">
      <c r="A402" s="4" t="str">
        <f>"03.130/002/2025"</f>
        <v>03.130/002/2025</v>
      </c>
      <c r="B402" s="4" t="str">
        <f>"Klartext reden - Selbstbewusst und souverän kommunizieren"</f>
        <v>Klartext reden - Selbstbewusst und souverän kommunizieren</v>
      </c>
      <c r="C402" s="5">
        <v>45841</v>
      </c>
      <c r="D402" s="5">
        <v>45842</v>
      </c>
      <c r="E402" s="4" t="str">
        <f t="shared" si="15"/>
        <v>2 Tage</v>
      </c>
      <c r="F402" s="17">
        <v>490</v>
      </c>
      <c r="G402" s="4" t="s">
        <v>17</v>
      </c>
      <c r="H402" s="4" t="s">
        <v>11</v>
      </c>
    </row>
    <row r="403" spans="1:8" x14ac:dyDescent="0.2">
      <c r="A403" s="4" t="str">
        <f>"03.130/003/2025"</f>
        <v>03.130/003/2025</v>
      </c>
      <c r="B403" s="4" t="str">
        <f>"Klartext reden - Selbstbewusst und souverän kommunizieren"</f>
        <v>Klartext reden - Selbstbewusst und souverän kommunizieren</v>
      </c>
      <c r="C403" s="5">
        <v>45869</v>
      </c>
      <c r="D403" s="5">
        <v>45870</v>
      </c>
      <c r="E403" s="4" t="str">
        <f t="shared" si="15"/>
        <v>2 Tage</v>
      </c>
      <c r="F403" s="17">
        <v>490</v>
      </c>
      <c r="G403" s="4" t="s">
        <v>17</v>
      </c>
      <c r="H403" s="4" t="s">
        <v>11</v>
      </c>
    </row>
    <row r="404" spans="1:8" x14ac:dyDescent="0.2">
      <c r="A404" s="4" t="str">
        <f>"03.135/001/2025"</f>
        <v>03.135/001/2025</v>
      </c>
      <c r="B404" s="4" t="str">
        <f>"Sicher kommunizieren in Druck- und Stresssituationen"</f>
        <v>Sicher kommunizieren in Druck- und Stresssituationen</v>
      </c>
      <c r="C404" s="5">
        <v>45708</v>
      </c>
      <c r="D404" s="5">
        <v>45709</v>
      </c>
      <c r="E404" s="4" t="str">
        <f t="shared" si="15"/>
        <v>2 Tage</v>
      </c>
      <c r="F404" s="17">
        <v>490</v>
      </c>
      <c r="G404" s="4" t="s">
        <v>17</v>
      </c>
      <c r="H404" s="4" t="s">
        <v>11</v>
      </c>
    </row>
    <row r="405" spans="1:8" x14ac:dyDescent="0.2">
      <c r="A405" s="4" t="str">
        <f>"03.135/002/2025"</f>
        <v>03.135/002/2025</v>
      </c>
      <c r="B405" s="4" t="str">
        <f>"Sicher kommunizieren in Druck- und Stresssituationen"</f>
        <v>Sicher kommunizieren in Druck- und Stresssituationen</v>
      </c>
      <c r="C405" s="5">
        <v>45755</v>
      </c>
      <c r="D405" s="5">
        <v>45756</v>
      </c>
      <c r="E405" s="4" t="str">
        <f t="shared" si="15"/>
        <v>2 Tage</v>
      </c>
      <c r="F405" s="17">
        <v>490</v>
      </c>
      <c r="G405" s="4" t="s">
        <v>17</v>
      </c>
      <c r="H405" s="4" t="s">
        <v>11</v>
      </c>
    </row>
    <row r="406" spans="1:8" x14ac:dyDescent="0.2">
      <c r="A406" s="4" t="str">
        <f>"03.135/003/2025"</f>
        <v>03.135/003/2025</v>
      </c>
      <c r="B406" s="4" t="str">
        <f>"Sicher kommunizieren in Druck- und Stresssituationen"</f>
        <v>Sicher kommunizieren in Druck- und Stresssituationen</v>
      </c>
      <c r="C406" s="5">
        <v>45965</v>
      </c>
      <c r="D406" s="5">
        <v>45966</v>
      </c>
      <c r="E406" s="4" t="str">
        <f t="shared" si="15"/>
        <v>2 Tage</v>
      </c>
      <c r="F406" s="17">
        <v>490</v>
      </c>
      <c r="G406" s="4" t="s">
        <v>17</v>
      </c>
      <c r="H406" s="4" t="s">
        <v>11</v>
      </c>
    </row>
    <row r="407" spans="1:8" x14ac:dyDescent="0.2">
      <c r="A407" s="4" t="str">
        <f>"03.140/001/2025"</f>
        <v>03.140/001/2025</v>
      </c>
      <c r="B407" s="4" t="str">
        <f>"Gezielter kommunizieren - Neurokommunikation"</f>
        <v>Gezielter kommunizieren - Neurokommunikation</v>
      </c>
      <c r="C407" s="5">
        <v>45722</v>
      </c>
      <c r="D407" s="5">
        <v>45723</v>
      </c>
      <c r="E407" s="4" t="str">
        <f t="shared" si="15"/>
        <v>2 Tage</v>
      </c>
      <c r="F407" s="17">
        <v>490</v>
      </c>
      <c r="G407" s="4" t="s">
        <v>17</v>
      </c>
      <c r="H407" s="4" t="s">
        <v>11</v>
      </c>
    </row>
    <row r="408" spans="1:8" x14ac:dyDescent="0.2">
      <c r="A408" s="4" t="str">
        <f>"03.140/002/2025"</f>
        <v>03.140/002/2025</v>
      </c>
      <c r="B408" s="4" t="str">
        <f>"Gezielter kommunizieren - Neurokommunikation"</f>
        <v>Gezielter kommunizieren - Neurokommunikation</v>
      </c>
      <c r="C408" s="5">
        <v>45987</v>
      </c>
      <c r="D408" s="5">
        <v>45988</v>
      </c>
      <c r="E408" s="4" t="str">
        <f t="shared" si="15"/>
        <v>2 Tage</v>
      </c>
      <c r="F408" s="17">
        <v>490</v>
      </c>
      <c r="G408" s="4" t="s">
        <v>17</v>
      </c>
      <c r="H408" s="4" t="s">
        <v>11</v>
      </c>
    </row>
    <row r="409" spans="1:8" x14ac:dyDescent="0.2">
      <c r="A409" s="4" t="str">
        <f>"03.142/001/2025"</f>
        <v>03.142/001/2025</v>
      </c>
      <c r="B409" s="4" t="str">
        <f>"Gefühle sehen und Menschen verstehen - Mimikresonanz"</f>
        <v>Gefühle sehen und Menschen verstehen - Mimikresonanz</v>
      </c>
      <c r="C409" s="5">
        <v>45736</v>
      </c>
      <c r="D409" s="5">
        <v>45737</v>
      </c>
      <c r="E409" s="4" t="str">
        <f t="shared" si="15"/>
        <v>2 Tage</v>
      </c>
      <c r="F409" s="17">
        <v>490</v>
      </c>
      <c r="G409" s="4" t="s">
        <v>17</v>
      </c>
      <c r="H409" s="4" t="s">
        <v>11</v>
      </c>
    </row>
    <row r="410" spans="1:8" x14ac:dyDescent="0.2">
      <c r="A410" s="4" t="str">
        <f>"03.142/002/2025"</f>
        <v>03.142/002/2025</v>
      </c>
      <c r="B410" s="4" t="str">
        <f>"Gefühle sehen und Menschen verstehen - Mimikresonanz"</f>
        <v>Gefühle sehen und Menschen verstehen - Mimikresonanz</v>
      </c>
      <c r="C410" s="5">
        <v>45936</v>
      </c>
      <c r="D410" s="5">
        <v>45937</v>
      </c>
      <c r="E410" s="4" t="str">
        <f t="shared" si="15"/>
        <v>2 Tage</v>
      </c>
      <c r="F410" s="17">
        <v>490</v>
      </c>
      <c r="G410" s="4" t="s">
        <v>17</v>
      </c>
      <c r="H410" s="4" t="s">
        <v>11</v>
      </c>
    </row>
    <row r="411" spans="1:8" x14ac:dyDescent="0.2">
      <c r="A411" s="4" t="str">
        <f>"03.145/001/2025"</f>
        <v>03.145/001/2025</v>
      </c>
      <c r="B411" s="4" t="str">
        <f>"Charismatisch und selbstbewusst auftreten"</f>
        <v>Charismatisch und selbstbewusst auftreten</v>
      </c>
      <c r="C411" s="5">
        <v>45763</v>
      </c>
      <c r="D411" s="5">
        <v>45764</v>
      </c>
      <c r="E411" s="4" t="str">
        <f t="shared" si="15"/>
        <v>2 Tage</v>
      </c>
      <c r="F411" s="17">
        <v>490</v>
      </c>
      <c r="G411" s="4" t="s">
        <v>17</v>
      </c>
      <c r="H411" s="4" t="s">
        <v>11</v>
      </c>
    </row>
    <row r="412" spans="1:8" x14ac:dyDescent="0.2">
      <c r="A412" s="4" t="str">
        <f>"03.145/002/2025"</f>
        <v>03.145/002/2025</v>
      </c>
      <c r="B412" s="4" t="str">
        <f>"Charismatisch und selbstbewusst auftreten"</f>
        <v>Charismatisch und selbstbewusst auftreten</v>
      </c>
      <c r="C412" s="5">
        <v>45897</v>
      </c>
      <c r="D412" s="5">
        <v>45898</v>
      </c>
      <c r="E412" s="4" t="str">
        <f t="shared" si="15"/>
        <v>2 Tage</v>
      </c>
      <c r="F412" s="17">
        <v>490</v>
      </c>
      <c r="G412" s="4" t="s">
        <v>17</v>
      </c>
      <c r="H412" s="4" t="s">
        <v>11</v>
      </c>
    </row>
    <row r="413" spans="1:8" x14ac:dyDescent="0.2">
      <c r="A413" s="4" t="str">
        <f>"03.150/001/2025"</f>
        <v>03.150/001/2025</v>
      </c>
      <c r="B413" s="4" t="str">
        <f>"NEIN sagen"</f>
        <v>NEIN sagen</v>
      </c>
      <c r="C413" s="5">
        <v>45727</v>
      </c>
      <c r="D413" s="5">
        <v>45728</v>
      </c>
      <c r="E413" s="4" t="str">
        <f t="shared" si="15"/>
        <v>2 Tage</v>
      </c>
      <c r="F413" s="17">
        <v>490</v>
      </c>
      <c r="G413" s="4" t="s">
        <v>17</v>
      </c>
      <c r="H413" s="4" t="s">
        <v>11</v>
      </c>
    </row>
    <row r="414" spans="1:8" x14ac:dyDescent="0.2">
      <c r="A414" s="4" t="str">
        <f>"03.150/002/2025"</f>
        <v>03.150/002/2025</v>
      </c>
      <c r="B414" s="4" t="str">
        <f>"NEIN sagen"</f>
        <v>NEIN sagen</v>
      </c>
      <c r="C414" s="5">
        <v>45845</v>
      </c>
      <c r="D414" s="5">
        <v>45846</v>
      </c>
      <c r="E414" s="4" t="str">
        <f t="shared" si="15"/>
        <v>2 Tage</v>
      </c>
      <c r="F414" s="17">
        <v>490</v>
      </c>
      <c r="G414" s="4" t="s">
        <v>17</v>
      </c>
      <c r="H414" s="4" t="s">
        <v>11</v>
      </c>
    </row>
    <row r="415" spans="1:8" x14ac:dyDescent="0.2">
      <c r="A415" s="4" t="str">
        <f>"03.150/003/2025"</f>
        <v>03.150/003/2025</v>
      </c>
      <c r="B415" s="4" t="str">
        <f>"NEIN sagen"</f>
        <v>NEIN sagen</v>
      </c>
      <c r="C415" s="5">
        <v>45929</v>
      </c>
      <c r="D415" s="5">
        <v>45930</v>
      </c>
      <c r="E415" s="4" t="str">
        <f t="shared" si="15"/>
        <v>2 Tage</v>
      </c>
      <c r="F415" s="17">
        <v>490</v>
      </c>
      <c r="G415" s="4" t="s">
        <v>17</v>
      </c>
      <c r="H415" s="4" t="s">
        <v>11</v>
      </c>
    </row>
    <row r="416" spans="1:8" x14ac:dyDescent="0.2">
      <c r="A416" s="4" t="str">
        <f>"03.155/001/2025"</f>
        <v>03.155/001/2025</v>
      </c>
      <c r="B416" s="4" t="str">
        <f>"Workshop: Weibliche und männliche Kommunikation"</f>
        <v>Workshop: Weibliche und männliche Kommunikation</v>
      </c>
      <c r="C416" s="5">
        <v>45727</v>
      </c>
      <c r="D416" s="5">
        <v>45728</v>
      </c>
      <c r="E416" s="4" t="str">
        <f t="shared" si="15"/>
        <v>2 Tage</v>
      </c>
      <c r="F416" s="17">
        <v>490</v>
      </c>
      <c r="G416" s="4" t="s">
        <v>17</v>
      </c>
      <c r="H416" s="4" t="s">
        <v>11</v>
      </c>
    </row>
    <row r="417" spans="1:8" x14ac:dyDescent="0.2">
      <c r="A417" s="4" t="str">
        <f>"03.155/002/2025"</f>
        <v>03.155/002/2025</v>
      </c>
      <c r="B417" s="4" t="str">
        <f>"Workshop: Weibliche und männliche Kommunikation"</f>
        <v>Workshop: Weibliche und männliche Kommunikation</v>
      </c>
      <c r="C417" s="5">
        <v>45915</v>
      </c>
      <c r="D417" s="5">
        <v>45916</v>
      </c>
      <c r="E417" s="4" t="str">
        <f t="shared" si="15"/>
        <v>2 Tage</v>
      </c>
      <c r="F417" s="17">
        <v>490</v>
      </c>
      <c r="G417" s="4" t="s">
        <v>17</v>
      </c>
      <c r="H417" s="4" t="s">
        <v>11</v>
      </c>
    </row>
    <row r="418" spans="1:8" x14ac:dyDescent="0.2">
      <c r="A418" s="4" t="str">
        <f>"03.160/001/2025"</f>
        <v>03.160/001/2025</v>
      </c>
      <c r="B418" s="4" t="str">
        <f>"Selbstsichere Ausstrahlung als Frau im Beruf"</f>
        <v>Selbstsichere Ausstrahlung als Frau im Beruf</v>
      </c>
      <c r="C418" s="5">
        <v>45687</v>
      </c>
      <c r="D418" s="5">
        <v>45688</v>
      </c>
      <c r="E418" s="4" t="str">
        <f t="shared" si="15"/>
        <v>2 Tage</v>
      </c>
      <c r="F418" s="17">
        <v>490</v>
      </c>
      <c r="G418" s="4" t="s">
        <v>17</v>
      </c>
      <c r="H418" s="4" t="s">
        <v>11</v>
      </c>
    </row>
    <row r="419" spans="1:8" x14ac:dyDescent="0.2">
      <c r="A419" s="4" t="str">
        <f>"03.160/002/2025"</f>
        <v>03.160/002/2025</v>
      </c>
      <c r="B419" s="4" t="str">
        <f>"Selbstsichere Ausstrahlung als Frau im Beruf"</f>
        <v>Selbstsichere Ausstrahlung als Frau im Beruf</v>
      </c>
      <c r="C419" s="5">
        <v>45790</v>
      </c>
      <c r="D419" s="5">
        <v>45791</v>
      </c>
      <c r="E419" s="4" t="str">
        <f t="shared" si="15"/>
        <v>2 Tage</v>
      </c>
      <c r="F419" s="17">
        <v>490</v>
      </c>
      <c r="G419" s="4" t="s">
        <v>17</v>
      </c>
      <c r="H419" s="4" t="s">
        <v>11</v>
      </c>
    </row>
    <row r="420" spans="1:8" x14ac:dyDescent="0.2">
      <c r="A420" s="4" t="str">
        <f>"03.160/003/2025"</f>
        <v>03.160/003/2025</v>
      </c>
      <c r="B420" s="4" t="str">
        <f>"Selbstsichere Ausstrahlung als Frau im Beruf"</f>
        <v>Selbstsichere Ausstrahlung als Frau im Beruf</v>
      </c>
      <c r="C420" s="5">
        <v>45957</v>
      </c>
      <c r="D420" s="5">
        <v>45958</v>
      </c>
      <c r="E420" s="4" t="str">
        <f t="shared" si="15"/>
        <v>2 Tage</v>
      </c>
      <c r="F420" s="17">
        <v>490</v>
      </c>
      <c r="G420" s="4" t="s">
        <v>17</v>
      </c>
      <c r="H420" s="4" t="s">
        <v>11</v>
      </c>
    </row>
    <row r="421" spans="1:8" x14ac:dyDescent="0.2">
      <c r="A421" s="4" t="str">
        <f>"03.215/001/2025"</f>
        <v>03.215/001/2025</v>
      </c>
      <c r="B421" s="4" t="str">
        <f t="shared" ref="B421:B429" si="16">"Rhetorik 1 - Sprechen vor Publikum"</f>
        <v>Rhetorik 1 - Sprechen vor Publikum</v>
      </c>
      <c r="C421" s="5">
        <v>45691</v>
      </c>
      <c r="D421" s="5">
        <v>45693</v>
      </c>
      <c r="E421" s="4" t="str">
        <f t="shared" ref="E421:E444" si="17">"3 Tage"</f>
        <v>3 Tage</v>
      </c>
      <c r="F421" s="17">
        <v>760</v>
      </c>
      <c r="G421" s="4" t="s">
        <v>17</v>
      </c>
      <c r="H421" s="4" t="s">
        <v>11</v>
      </c>
    </row>
    <row r="422" spans="1:8" x14ac:dyDescent="0.2">
      <c r="A422" s="4" t="str">
        <f>"03.215/002/2025"</f>
        <v>03.215/002/2025</v>
      </c>
      <c r="B422" s="4" t="str">
        <f t="shared" si="16"/>
        <v>Rhetorik 1 - Sprechen vor Publikum</v>
      </c>
      <c r="C422" s="5">
        <v>45740</v>
      </c>
      <c r="D422" s="5">
        <v>45742</v>
      </c>
      <c r="E422" s="4" t="str">
        <f t="shared" si="17"/>
        <v>3 Tage</v>
      </c>
      <c r="F422" s="17">
        <v>760</v>
      </c>
      <c r="G422" s="4" t="s">
        <v>17</v>
      </c>
      <c r="H422" s="4" t="s">
        <v>11</v>
      </c>
    </row>
    <row r="423" spans="1:8" x14ac:dyDescent="0.2">
      <c r="A423" s="4" t="str">
        <f>"03.215/003/2025"</f>
        <v>03.215/003/2025</v>
      </c>
      <c r="B423" s="4" t="str">
        <f t="shared" si="16"/>
        <v>Rhetorik 1 - Sprechen vor Publikum</v>
      </c>
      <c r="C423" s="5">
        <v>45783</v>
      </c>
      <c r="D423" s="5">
        <v>45785</v>
      </c>
      <c r="E423" s="4" t="str">
        <f t="shared" si="17"/>
        <v>3 Tage</v>
      </c>
      <c r="F423" s="17">
        <v>760</v>
      </c>
      <c r="G423" s="4" t="s">
        <v>17</v>
      </c>
      <c r="H423" s="4" t="s">
        <v>11</v>
      </c>
    </row>
    <row r="424" spans="1:8" x14ac:dyDescent="0.2">
      <c r="A424" s="4" t="str">
        <f>"03.215/004/2025"</f>
        <v>03.215/004/2025</v>
      </c>
      <c r="B424" s="4" t="str">
        <f t="shared" si="16"/>
        <v>Rhetorik 1 - Sprechen vor Publikum</v>
      </c>
      <c r="C424" s="5">
        <v>45811</v>
      </c>
      <c r="D424" s="5">
        <v>45813</v>
      </c>
      <c r="E424" s="4" t="str">
        <f t="shared" si="17"/>
        <v>3 Tage</v>
      </c>
      <c r="F424" s="17">
        <v>760</v>
      </c>
      <c r="G424" s="4" t="s">
        <v>17</v>
      </c>
      <c r="H424" s="4" t="s">
        <v>11</v>
      </c>
    </row>
    <row r="425" spans="1:8" x14ac:dyDescent="0.2">
      <c r="A425" s="4" t="str">
        <f>"03.215/005/2025"</f>
        <v>03.215/005/2025</v>
      </c>
      <c r="B425" s="4" t="str">
        <f t="shared" si="16"/>
        <v>Rhetorik 1 - Sprechen vor Publikum</v>
      </c>
      <c r="C425" s="5">
        <v>45847</v>
      </c>
      <c r="D425" s="5">
        <v>45849</v>
      </c>
      <c r="E425" s="4" t="str">
        <f t="shared" si="17"/>
        <v>3 Tage</v>
      </c>
      <c r="F425" s="17">
        <v>760</v>
      </c>
      <c r="G425" s="4" t="s">
        <v>17</v>
      </c>
      <c r="H425" s="4" t="s">
        <v>11</v>
      </c>
    </row>
    <row r="426" spans="1:8" x14ac:dyDescent="0.2">
      <c r="A426" s="4" t="str">
        <f>"03.215/006/2025"</f>
        <v>03.215/006/2025</v>
      </c>
      <c r="B426" s="4" t="str">
        <f t="shared" si="16"/>
        <v>Rhetorik 1 - Sprechen vor Publikum</v>
      </c>
      <c r="C426" s="5">
        <v>45901</v>
      </c>
      <c r="D426" s="5">
        <v>45903</v>
      </c>
      <c r="E426" s="4" t="str">
        <f t="shared" si="17"/>
        <v>3 Tage</v>
      </c>
      <c r="F426" s="17">
        <v>760</v>
      </c>
      <c r="G426" s="4" t="s">
        <v>17</v>
      </c>
      <c r="H426" s="4" t="s">
        <v>11</v>
      </c>
    </row>
    <row r="427" spans="1:8" x14ac:dyDescent="0.2">
      <c r="A427" s="4" t="str">
        <f>"03.215/007/2025"</f>
        <v>03.215/007/2025</v>
      </c>
      <c r="B427" s="4" t="str">
        <f t="shared" si="16"/>
        <v>Rhetorik 1 - Sprechen vor Publikum</v>
      </c>
      <c r="C427" s="5">
        <v>45938</v>
      </c>
      <c r="D427" s="5">
        <v>45940</v>
      </c>
      <c r="E427" s="4" t="str">
        <f t="shared" si="17"/>
        <v>3 Tage</v>
      </c>
      <c r="F427" s="17">
        <v>760</v>
      </c>
      <c r="G427" s="4" t="s">
        <v>17</v>
      </c>
      <c r="H427" s="4" t="s">
        <v>11</v>
      </c>
    </row>
    <row r="428" spans="1:8" x14ac:dyDescent="0.2">
      <c r="A428" s="4" t="str">
        <f>"03.215/008/2025"</f>
        <v>03.215/008/2025</v>
      </c>
      <c r="B428" s="4" t="str">
        <f t="shared" si="16"/>
        <v>Rhetorik 1 - Sprechen vor Publikum</v>
      </c>
      <c r="C428" s="5">
        <v>45966</v>
      </c>
      <c r="D428" s="5">
        <v>45968</v>
      </c>
      <c r="E428" s="4" t="str">
        <f t="shared" si="17"/>
        <v>3 Tage</v>
      </c>
      <c r="F428" s="17">
        <v>760</v>
      </c>
      <c r="G428" s="4" t="s">
        <v>17</v>
      </c>
      <c r="H428" s="4" t="s">
        <v>11</v>
      </c>
    </row>
    <row r="429" spans="1:8" x14ac:dyDescent="0.2">
      <c r="A429" s="4" t="str">
        <f>"03.215/009/2025"</f>
        <v>03.215/009/2025</v>
      </c>
      <c r="B429" s="4" t="str">
        <f t="shared" si="16"/>
        <v>Rhetorik 1 - Sprechen vor Publikum</v>
      </c>
      <c r="C429" s="5">
        <v>45994</v>
      </c>
      <c r="D429" s="5">
        <v>45996</v>
      </c>
      <c r="E429" s="4" t="str">
        <f t="shared" si="17"/>
        <v>3 Tage</v>
      </c>
      <c r="F429" s="17">
        <v>760</v>
      </c>
      <c r="G429" s="4" t="s">
        <v>17</v>
      </c>
      <c r="H429" s="4" t="s">
        <v>11</v>
      </c>
    </row>
    <row r="430" spans="1:8" x14ac:dyDescent="0.2">
      <c r="A430" s="4" t="str">
        <f>"03.216/001/2025"</f>
        <v>03.216/001/2025</v>
      </c>
      <c r="B430" s="4" t="str">
        <f>"Rhetorik 2 - Argumentieren und überzeugen"</f>
        <v>Rhetorik 2 - Argumentieren und überzeugen</v>
      </c>
      <c r="C430" s="5">
        <v>45677</v>
      </c>
      <c r="D430" s="5">
        <v>45679</v>
      </c>
      <c r="E430" s="4" t="str">
        <f t="shared" si="17"/>
        <v>3 Tage</v>
      </c>
      <c r="F430" s="17">
        <v>760</v>
      </c>
      <c r="G430" s="4" t="s">
        <v>14</v>
      </c>
      <c r="H430" s="4" t="s">
        <v>11</v>
      </c>
    </row>
    <row r="431" spans="1:8" x14ac:dyDescent="0.2">
      <c r="A431" s="4" t="str">
        <f>"03.216/002/2025"</f>
        <v>03.216/002/2025</v>
      </c>
      <c r="B431" s="4" t="str">
        <f>"Rhetorik 2 - Argumentieren und überzeugen"</f>
        <v>Rhetorik 2 - Argumentieren und überzeugen</v>
      </c>
      <c r="C431" s="5">
        <v>45775</v>
      </c>
      <c r="D431" s="5">
        <v>45777</v>
      </c>
      <c r="E431" s="4" t="str">
        <f t="shared" si="17"/>
        <v>3 Tage</v>
      </c>
      <c r="F431" s="17">
        <v>760</v>
      </c>
      <c r="G431" s="4" t="s">
        <v>14</v>
      </c>
      <c r="H431" s="4" t="s">
        <v>11</v>
      </c>
    </row>
    <row r="432" spans="1:8" x14ac:dyDescent="0.2">
      <c r="A432" s="4" t="str">
        <f>"03.216/003/2025"</f>
        <v>03.216/003/2025</v>
      </c>
      <c r="B432" s="4" t="str">
        <f>"Rhetorik 2 - Argumentieren und überzeugen"</f>
        <v>Rhetorik 2 - Argumentieren und überzeugen</v>
      </c>
      <c r="C432" s="5">
        <v>45868</v>
      </c>
      <c r="D432" s="5">
        <v>45870</v>
      </c>
      <c r="E432" s="4" t="str">
        <f t="shared" si="17"/>
        <v>3 Tage</v>
      </c>
      <c r="F432" s="17">
        <v>760</v>
      </c>
      <c r="G432" s="4" t="s">
        <v>14</v>
      </c>
      <c r="H432" s="4" t="s">
        <v>11</v>
      </c>
    </row>
    <row r="433" spans="1:8" x14ac:dyDescent="0.2">
      <c r="A433" s="4" t="str">
        <f>"03.216/004/2025"</f>
        <v>03.216/004/2025</v>
      </c>
      <c r="B433" s="4" t="str">
        <f>"Rhetorik 2 - Argumentieren und überzeugen"</f>
        <v>Rhetorik 2 - Argumentieren und überzeugen</v>
      </c>
      <c r="C433" s="5">
        <v>45980</v>
      </c>
      <c r="D433" s="5">
        <v>45982</v>
      </c>
      <c r="E433" s="4" t="str">
        <f t="shared" si="17"/>
        <v>3 Tage</v>
      </c>
      <c r="F433" s="17">
        <v>760</v>
      </c>
      <c r="G433" s="4" t="s">
        <v>14</v>
      </c>
      <c r="H433" s="4" t="s">
        <v>11</v>
      </c>
    </row>
    <row r="434" spans="1:8" x14ac:dyDescent="0.2">
      <c r="A434" s="4" t="str">
        <f>"03.216/005/2025"</f>
        <v>03.216/005/2025</v>
      </c>
      <c r="B434" s="4" t="str">
        <f>"Rhetorik 2 - Argumentieren und überzeugen"</f>
        <v>Rhetorik 2 - Argumentieren und überzeugen</v>
      </c>
      <c r="C434" s="5">
        <v>46001</v>
      </c>
      <c r="D434" s="5">
        <v>46003</v>
      </c>
      <c r="E434" s="4" t="str">
        <f t="shared" si="17"/>
        <v>3 Tage</v>
      </c>
      <c r="F434" s="17">
        <v>760</v>
      </c>
      <c r="G434" s="4" t="s">
        <v>14</v>
      </c>
      <c r="H434" s="4" t="s">
        <v>11</v>
      </c>
    </row>
    <row r="435" spans="1:8" x14ac:dyDescent="0.2">
      <c r="A435" s="4" t="str">
        <f>"03.217/001/2025"</f>
        <v>03.217/001/2025</v>
      </c>
      <c r="B435" s="4" t="str">
        <f>"Rhetorik 3 - Schwierige Gespräche und Interventionen"</f>
        <v>Rhetorik 3 - Schwierige Gespräche und Interventionen</v>
      </c>
      <c r="C435" s="5">
        <v>45691</v>
      </c>
      <c r="D435" s="5">
        <v>45693</v>
      </c>
      <c r="E435" s="4" t="str">
        <f t="shared" si="17"/>
        <v>3 Tage</v>
      </c>
      <c r="F435" s="17">
        <v>760</v>
      </c>
      <c r="G435" s="4" t="s">
        <v>18</v>
      </c>
      <c r="H435" s="4" t="s">
        <v>11</v>
      </c>
    </row>
    <row r="436" spans="1:8" x14ac:dyDescent="0.2">
      <c r="A436" s="4" t="str">
        <f>"03.217/002/2025"</f>
        <v>03.217/002/2025</v>
      </c>
      <c r="B436" s="4" t="str">
        <f>"Rhetorik 3 - Schwierige Gespräche und Interventionen"</f>
        <v>Rhetorik 3 - Schwierige Gespräche und Interventionen</v>
      </c>
      <c r="C436" s="5">
        <v>45964</v>
      </c>
      <c r="D436" s="5">
        <v>45966</v>
      </c>
      <c r="E436" s="4" t="str">
        <f t="shared" si="17"/>
        <v>3 Tage</v>
      </c>
      <c r="F436" s="17">
        <v>760</v>
      </c>
      <c r="G436" s="4" t="s">
        <v>18</v>
      </c>
      <c r="H436" s="4" t="s">
        <v>11</v>
      </c>
    </row>
    <row r="437" spans="1:8" x14ac:dyDescent="0.2">
      <c r="A437" s="4" t="str">
        <f>"03.218/001/2025"</f>
        <v>03.218/001/2025</v>
      </c>
      <c r="B437" s="4" t="str">
        <f>"Rhetorik 4 - Erfolgreiche Verhandlungsführung"</f>
        <v>Rhetorik 4 - Erfolgreiche Verhandlungsführung</v>
      </c>
      <c r="C437" s="5">
        <v>45684</v>
      </c>
      <c r="D437" s="5">
        <v>45686</v>
      </c>
      <c r="E437" s="4" t="str">
        <f t="shared" si="17"/>
        <v>3 Tage</v>
      </c>
      <c r="F437" s="17">
        <v>760</v>
      </c>
      <c r="G437" s="4" t="s">
        <v>17</v>
      </c>
      <c r="H437" s="4" t="s">
        <v>11</v>
      </c>
    </row>
    <row r="438" spans="1:8" x14ac:dyDescent="0.2">
      <c r="A438" s="4" t="str">
        <f>"03.218/002/2025"</f>
        <v>03.218/002/2025</v>
      </c>
      <c r="B438" s="4" t="str">
        <f>"Rhetorik 4 - Erfolgreiche Verhandlungsführung"</f>
        <v>Rhetorik 4 - Erfolgreiche Verhandlungsführung</v>
      </c>
      <c r="C438" s="5">
        <v>45838</v>
      </c>
      <c r="D438" s="5">
        <v>45840</v>
      </c>
      <c r="E438" s="4" t="str">
        <f t="shared" si="17"/>
        <v>3 Tage</v>
      </c>
      <c r="F438" s="17">
        <v>760</v>
      </c>
      <c r="G438" s="4" t="s">
        <v>17</v>
      </c>
      <c r="H438" s="4" t="s">
        <v>11</v>
      </c>
    </row>
    <row r="439" spans="1:8" x14ac:dyDescent="0.2">
      <c r="A439" s="4" t="str">
        <f>"03.218/003/2025"</f>
        <v>03.218/003/2025</v>
      </c>
      <c r="B439" s="4" t="str">
        <f>"Rhetorik 4 - Erfolgreiche Verhandlungsführung"</f>
        <v>Rhetorik 4 - Erfolgreiche Verhandlungsführung</v>
      </c>
      <c r="C439" s="5">
        <v>45915</v>
      </c>
      <c r="D439" s="5">
        <v>45917</v>
      </c>
      <c r="E439" s="4" t="str">
        <f t="shared" si="17"/>
        <v>3 Tage</v>
      </c>
      <c r="F439" s="17">
        <v>760</v>
      </c>
      <c r="G439" s="4" t="s">
        <v>17</v>
      </c>
      <c r="H439" s="4" t="s">
        <v>11</v>
      </c>
    </row>
    <row r="440" spans="1:8" x14ac:dyDescent="0.2">
      <c r="A440" s="4" t="str">
        <f>"03.219/001/2025"</f>
        <v>03.219/001/2025</v>
      </c>
      <c r="B440" s="4" t="str">
        <f>"Gesprächs- und Verhandlungsführung für Frauen"</f>
        <v>Gesprächs- und Verhandlungsführung für Frauen</v>
      </c>
      <c r="C440" s="5">
        <v>45700</v>
      </c>
      <c r="D440" s="5">
        <v>45702</v>
      </c>
      <c r="E440" s="4" t="str">
        <f t="shared" si="17"/>
        <v>3 Tage</v>
      </c>
      <c r="F440" s="17">
        <v>760</v>
      </c>
      <c r="G440" s="4" t="s">
        <v>17</v>
      </c>
      <c r="H440" s="4" t="s">
        <v>11</v>
      </c>
    </row>
    <row r="441" spans="1:8" x14ac:dyDescent="0.2">
      <c r="A441" s="4" t="str">
        <f>"03.219/002/2025"</f>
        <v>03.219/002/2025</v>
      </c>
      <c r="B441" s="4" t="str">
        <f>"Gesprächs- und Verhandlungsführung für Frauen"</f>
        <v>Gesprächs- und Verhandlungsführung für Frauen</v>
      </c>
      <c r="C441" s="5">
        <v>45908</v>
      </c>
      <c r="D441" s="5">
        <v>45910</v>
      </c>
      <c r="E441" s="4" t="str">
        <f t="shared" si="17"/>
        <v>3 Tage</v>
      </c>
      <c r="F441" s="17">
        <v>760</v>
      </c>
      <c r="G441" s="4" t="s">
        <v>17</v>
      </c>
      <c r="H441" s="4" t="s">
        <v>11</v>
      </c>
    </row>
    <row r="442" spans="1:8" x14ac:dyDescent="0.2">
      <c r="A442" s="4" t="str">
        <f>"03.220/001/2025"</f>
        <v>03.220/001/2025</v>
      </c>
      <c r="B442" s="4" t="str">
        <f>"Rhetorik und Stimmtraining - Einführung"</f>
        <v>Rhetorik und Stimmtraining - Einführung</v>
      </c>
      <c r="C442" s="5">
        <v>45663</v>
      </c>
      <c r="D442" s="5">
        <v>45665</v>
      </c>
      <c r="E442" s="4" t="str">
        <f t="shared" si="17"/>
        <v>3 Tage</v>
      </c>
      <c r="F442" s="17">
        <v>760</v>
      </c>
      <c r="G442" s="4" t="s">
        <v>17</v>
      </c>
      <c r="H442" s="4" t="s">
        <v>11</v>
      </c>
    </row>
    <row r="443" spans="1:8" x14ac:dyDescent="0.2">
      <c r="A443" s="4" t="str">
        <f>"03.220/003/2025"</f>
        <v>03.220/003/2025</v>
      </c>
      <c r="B443" s="4" t="str">
        <f>"Rhetorik und Stimmtraining - Einführung"</f>
        <v>Rhetorik und Stimmtraining - Einführung</v>
      </c>
      <c r="C443" s="5">
        <v>45775</v>
      </c>
      <c r="D443" s="5">
        <v>45777</v>
      </c>
      <c r="E443" s="4" t="str">
        <f t="shared" si="17"/>
        <v>3 Tage</v>
      </c>
      <c r="F443" s="17">
        <v>760</v>
      </c>
      <c r="G443" s="4" t="s">
        <v>17</v>
      </c>
      <c r="H443" s="4" t="s">
        <v>11</v>
      </c>
    </row>
    <row r="444" spans="1:8" x14ac:dyDescent="0.2">
      <c r="A444" s="4" t="str">
        <f>"03.220/005/2025"</f>
        <v>03.220/005/2025</v>
      </c>
      <c r="B444" s="4" t="str">
        <f>"Rhetorik und Stimmtraining - Einführung"</f>
        <v>Rhetorik und Stimmtraining - Einführung</v>
      </c>
      <c r="C444" s="5">
        <v>45964</v>
      </c>
      <c r="D444" s="5">
        <v>45966</v>
      </c>
      <c r="E444" s="4" t="str">
        <f t="shared" si="17"/>
        <v>3 Tage</v>
      </c>
      <c r="F444" s="17">
        <v>760</v>
      </c>
      <c r="G444" s="4" t="s">
        <v>17</v>
      </c>
      <c r="H444" s="4" t="s">
        <v>11</v>
      </c>
    </row>
    <row r="445" spans="1:8" x14ac:dyDescent="0.2">
      <c r="A445" s="4" t="str">
        <f>"03.221/001/2025"</f>
        <v>03.221/001/2025</v>
      </c>
      <c r="B445" s="4" t="str">
        <f>"Rhetorik und Stimmtraining - Vertiefung"</f>
        <v>Rhetorik und Stimmtraining - Vertiefung</v>
      </c>
      <c r="C445" s="5">
        <v>45713</v>
      </c>
      <c r="D445" s="5">
        <v>45714</v>
      </c>
      <c r="E445" s="4" t="str">
        <f>"2 Tage"</f>
        <v>2 Tage</v>
      </c>
      <c r="F445" s="17">
        <v>490</v>
      </c>
      <c r="G445" s="4" t="s">
        <v>17</v>
      </c>
      <c r="H445" s="4" t="s">
        <v>11</v>
      </c>
    </row>
    <row r="446" spans="1:8" x14ac:dyDescent="0.2">
      <c r="A446" s="4" t="str">
        <f>"03.221/002/2025"</f>
        <v>03.221/002/2025</v>
      </c>
      <c r="B446" s="4" t="str">
        <f>"Rhetorik und Stimmtraining - Vertiefung"</f>
        <v>Rhetorik und Stimmtraining - Vertiefung</v>
      </c>
      <c r="C446" s="5">
        <v>45950</v>
      </c>
      <c r="D446" s="5">
        <v>45951</v>
      </c>
      <c r="E446" s="4" t="str">
        <f>"2 Tage"</f>
        <v>2 Tage</v>
      </c>
      <c r="F446" s="17">
        <v>490</v>
      </c>
      <c r="G446" s="4" t="s">
        <v>17</v>
      </c>
      <c r="H446" s="4" t="s">
        <v>11</v>
      </c>
    </row>
    <row r="447" spans="1:8" x14ac:dyDescent="0.2">
      <c r="A447" s="4" t="str">
        <f>"03.240/001/2025"</f>
        <v>03.240/001/2025</v>
      </c>
      <c r="B447" s="4" t="str">
        <f>"Stimme und Wirkung in Führungssituationen"</f>
        <v>Stimme und Wirkung in Führungssituationen</v>
      </c>
      <c r="C447" s="5">
        <v>45673</v>
      </c>
      <c r="D447" s="5">
        <v>45674</v>
      </c>
      <c r="E447" s="4" t="str">
        <f>"2 Tage"</f>
        <v>2 Tage</v>
      </c>
      <c r="F447" s="17">
        <v>490</v>
      </c>
      <c r="G447" s="4" t="s">
        <v>18</v>
      </c>
      <c r="H447" s="4" t="s">
        <v>11</v>
      </c>
    </row>
    <row r="448" spans="1:8" x14ac:dyDescent="0.2">
      <c r="A448" s="4" t="str">
        <f>"03.245/001/2025"</f>
        <v>03.245/001/2025</v>
      </c>
      <c r="B448" s="4" t="str">
        <f>"Rhetorik und Stimmtraining für Frauen"</f>
        <v>Rhetorik und Stimmtraining für Frauen</v>
      </c>
      <c r="C448" s="5">
        <v>45677</v>
      </c>
      <c r="D448" s="5">
        <v>45679</v>
      </c>
      <c r="E448" s="4" t="str">
        <f>"3 Tage"</f>
        <v>3 Tage</v>
      </c>
      <c r="F448" s="17">
        <v>760</v>
      </c>
      <c r="G448" s="4" t="s">
        <v>17</v>
      </c>
      <c r="H448" s="4" t="s">
        <v>11</v>
      </c>
    </row>
    <row r="449" spans="1:8" x14ac:dyDescent="0.2">
      <c r="A449" s="4" t="str">
        <f>"03.245/002/2025"</f>
        <v>03.245/002/2025</v>
      </c>
      <c r="B449" s="4" t="str">
        <f>"Rhetorik und Stimmtraining für Frauen"</f>
        <v>Rhetorik und Stimmtraining für Frauen</v>
      </c>
      <c r="C449" s="5">
        <v>45803</v>
      </c>
      <c r="D449" s="5">
        <v>45805</v>
      </c>
      <c r="E449" s="4" t="str">
        <f>"3 Tage"</f>
        <v>3 Tage</v>
      </c>
      <c r="F449" s="17">
        <v>760</v>
      </c>
      <c r="G449" s="4" t="s">
        <v>17</v>
      </c>
      <c r="H449" s="4" t="s">
        <v>11</v>
      </c>
    </row>
    <row r="450" spans="1:8" x14ac:dyDescent="0.2">
      <c r="A450" s="4" t="str">
        <f>"03.330/001/2025"</f>
        <v>03.330/001/2025</v>
      </c>
      <c r="B450" s="4" t="str">
        <f>"Besprechungen kompetent leiten"</f>
        <v>Besprechungen kompetent leiten</v>
      </c>
      <c r="C450" s="5">
        <v>45740</v>
      </c>
      <c r="D450" s="5">
        <v>45742</v>
      </c>
      <c r="E450" s="4" t="str">
        <f>"3 Tage"</f>
        <v>3 Tage</v>
      </c>
      <c r="F450" s="17">
        <v>760</v>
      </c>
      <c r="G450" s="4" t="s">
        <v>17</v>
      </c>
      <c r="H450" s="4" t="s">
        <v>11</v>
      </c>
    </row>
    <row r="451" spans="1:8" x14ac:dyDescent="0.2">
      <c r="A451" s="4" t="str">
        <f>"03.330/002/2025"</f>
        <v>03.330/002/2025</v>
      </c>
      <c r="B451" s="4" t="str">
        <f>"Besprechungen kompetent leiten"</f>
        <v>Besprechungen kompetent leiten</v>
      </c>
      <c r="C451" s="5">
        <v>45803</v>
      </c>
      <c r="D451" s="5">
        <v>45805</v>
      </c>
      <c r="E451" s="4" t="str">
        <f>"3 Tage"</f>
        <v>3 Tage</v>
      </c>
      <c r="F451" s="17">
        <v>760</v>
      </c>
      <c r="G451" s="4" t="s">
        <v>17</v>
      </c>
      <c r="H451" s="4" t="s">
        <v>11</v>
      </c>
    </row>
    <row r="452" spans="1:8" x14ac:dyDescent="0.2">
      <c r="A452" s="4" t="str">
        <f>"03.330/003/2025"</f>
        <v>03.330/003/2025</v>
      </c>
      <c r="B452" s="4" t="str">
        <f>"Besprechungen kompetent leiten"</f>
        <v>Besprechungen kompetent leiten</v>
      </c>
      <c r="C452" s="5">
        <v>45957</v>
      </c>
      <c r="D452" s="5">
        <v>45959</v>
      </c>
      <c r="E452" s="4" t="str">
        <f>"3 Tage"</f>
        <v>3 Tage</v>
      </c>
      <c r="F452" s="17">
        <v>760</v>
      </c>
      <c r="G452" s="4" t="s">
        <v>17</v>
      </c>
      <c r="H452" s="4" t="s">
        <v>11</v>
      </c>
    </row>
    <row r="453" spans="1:8" x14ac:dyDescent="0.2">
      <c r="A453" s="4" t="str">
        <f>"03.335/001/2025"</f>
        <v>03.335/001/2025</v>
      </c>
      <c r="B453" s="4" t="str">
        <f>"Führen von Mitarbeitergesprächen"</f>
        <v>Führen von Mitarbeitergesprächen</v>
      </c>
      <c r="C453" s="5">
        <v>45915</v>
      </c>
      <c r="D453" s="5">
        <v>45916</v>
      </c>
      <c r="E453" s="4" t="str">
        <f>"2 Tage"</f>
        <v>2 Tage</v>
      </c>
      <c r="F453" s="17">
        <v>490</v>
      </c>
      <c r="G453" s="4" t="s">
        <v>18</v>
      </c>
      <c r="H453" s="4" t="s">
        <v>11</v>
      </c>
    </row>
    <row r="454" spans="1:8" x14ac:dyDescent="0.2">
      <c r="A454" s="4" t="str">
        <f>"03.340/001/2025"</f>
        <v>03.340/001/2025</v>
      </c>
      <c r="B454" s="4" t="str">
        <f>"Beurteilungsgespräche führen"</f>
        <v>Beurteilungsgespräche führen</v>
      </c>
      <c r="C454" s="5">
        <v>45729</v>
      </c>
      <c r="D454" s="5">
        <v>45730</v>
      </c>
      <c r="E454" s="4" t="str">
        <f>"2 Tage"</f>
        <v>2 Tage</v>
      </c>
      <c r="F454" s="17">
        <v>490</v>
      </c>
      <c r="G454" s="4" t="s">
        <v>18</v>
      </c>
      <c r="H454" s="4" t="s">
        <v>11</v>
      </c>
    </row>
    <row r="455" spans="1:8" x14ac:dyDescent="0.2">
      <c r="A455" s="4" t="str">
        <f>"03.345/001/2025"</f>
        <v>03.345/001/2025</v>
      </c>
      <c r="B455" s="4" t="str">
        <f>"Gut vorbereitet ins Gespräch mit der Führungskraft - Mitarbeitergespräche aktiv mitgestalten"</f>
        <v>Gut vorbereitet ins Gespräch mit der Führungskraft - Mitarbeitergespräche aktiv mitgestalten</v>
      </c>
      <c r="C455" s="5">
        <v>45750</v>
      </c>
      <c r="D455" s="5">
        <v>45751</v>
      </c>
      <c r="E455" s="4" t="str">
        <f>"2 Tage"</f>
        <v>2 Tage</v>
      </c>
      <c r="F455" s="17">
        <v>490</v>
      </c>
      <c r="G455" s="4" t="s">
        <v>17</v>
      </c>
      <c r="H455" s="4" t="s">
        <v>11</v>
      </c>
    </row>
    <row r="456" spans="1:8" x14ac:dyDescent="0.2">
      <c r="A456" s="4" t="str">
        <f>"03.350/001/2025"</f>
        <v>03.350/001/2025</v>
      </c>
      <c r="B456" s="4" t="str">
        <f>"Kundenfreundliche Kommunikation am Telefon"</f>
        <v>Kundenfreundliche Kommunikation am Telefon</v>
      </c>
      <c r="C456" s="5">
        <v>45705</v>
      </c>
      <c r="D456" s="5">
        <v>45706</v>
      </c>
      <c r="E456" s="4" t="str">
        <f>"2 Tage"</f>
        <v>2 Tage</v>
      </c>
      <c r="F456" s="17">
        <v>490</v>
      </c>
      <c r="G456" s="4" t="s">
        <v>17</v>
      </c>
      <c r="H456" s="4" t="s">
        <v>11</v>
      </c>
    </row>
    <row r="457" spans="1:8" x14ac:dyDescent="0.2">
      <c r="A457" s="4" t="str">
        <f>"03.355/001/2025"</f>
        <v>03.355/001/2025</v>
      </c>
      <c r="B457" s="4" t="str">
        <f>"Kommunikation im Außendienst"</f>
        <v>Kommunikation im Außendienst</v>
      </c>
      <c r="C457" s="5">
        <v>45679</v>
      </c>
      <c r="D457" s="5">
        <v>45681</v>
      </c>
      <c r="E457" s="4" t="str">
        <f t="shared" ref="E457:E462" si="18">"3 Tage"</f>
        <v>3 Tage</v>
      </c>
      <c r="F457" s="17">
        <v>760</v>
      </c>
      <c r="G457" s="4" t="s">
        <v>17</v>
      </c>
      <c r="H457" s="4" t="s">
        <v>11</v>
      </c>
    </row>
    <row r="458" spans="1:8" x14ac:dyDescent="0.2">
      <c r="A458" s="4" t="str">
        <f>"03.420/001/2025"</f>
        <v>03.420/001/2025</v>
      </c>
      <c r="B458" s="4" t="str">
        <f>"Umgang mit Konflikten am Arbeitsplatz"</f>
        <v>Umgang mit Konflikten am Arbeitsplatz</v>
      </c>
      <c r="C458" s="5">
        <v>45684</v>
      </c>
      <c r="D458" s="5">
        <v>45686</v>
      </c>
      <c r="E458" s="4" t="str">
        <f t="shared" si="18"/>
        <v>3 Tage</v>
      </c>
      <c r="F458" s="17">
        <v>760</v>
      </c>
      <c r="G458" s="4" t="s">
        <v>17</v>
      </c>
      <c r="H458" s="4" t="s">
        <v>11</v>
      </c>
    </row>
    <row r="459" spans="1:8" x14ac:dyDescent="0.2">
      <c r="A459" s="4" t="str">
        <f>"03.420/002/2025"</f>
        <v>03.420/002/2025</v>
      </c>
      <c r="B459" s="4" t="str">
        <f>"Umgang mit Konflikten am Arbeitsplatz"</f>
        <v>Umgang mit Konflikten am Arbeitsplatz</v>
      </c>
      <c r="C459" s="5">
        <v>45952</v>
      </c>
      <c r="D459" s="5">
        <v>45954</v>
      </c>
      <c r="E459" s="4" t="str">
        <f t="shared" si="18"/>
        <v>3 Tage</v>
      </c>
      <c r="F459" s="17">
        <v>760</v>
      </c>
      <c r="G459" s="4" t="s">
        <v>17</v>
      </c>
      <c r="H459" s="4" t="s">
        <v>11</v>
      </c>
    </row>
    <row r="460" spans="1:8" x14ac:dyDescent="0.2">
      <c r="A460" s="4" t="str">
        <f>"03.425/001/2025"</f>
        <v>03.425/001/2025</v>
      </c>
      <c r="B460" s="4" t="str">
        <f>"Gleich kracht es - Konflikte am Arbeitsplatz"</f>
        <v>Gleich kracht es - Konflikte am Arbeitsplatz</v>
      </c>
      <c r="C460" s="5">
        <v>45945</v>
      </c>
      <c r="D460" s="5">
        <v>45947</v>
      </c>
      <c r="E460" s="4" t="str">
        <f t="shared" si="18"/>
        <v>3 Tage</v>
      </c>
      <c r="F460" s="17">
        <v>760</v>
      </c>
      <c r="G460" s="4" t="s">
        <v>17</v>
      </c>
      <c r="H460" s="4" t="s">
        <v>11</v>
      </c>
    </row>
    <row r="461" spans="1:8" x14ac:dyDescent="0.2">
      <c r="A461" s="4" t="str">
        <f>"03.430/001/2025"</f>
        <v>03.430/001/2025</v>
      </c>
      <c r="B461" s="4" t="str">
        <f>"Wenn aus Stress Konflikte werden - Konfliktkommunikation"</f>
        <v>Wenn aus Stress Konflikte werden - Konfliktkommunikation</v>
      </c>
      <c r="C461" s="5">
        <v>45693</v>
      </c>
      <c r="D461" s="5">
        <v>45695</v>
      </c>
      <c r="E461" s="4" t="str">
        <f t="shared" si="18"/>
        <v>3 Tage</v>
      </c>
      <c r="F461" s="17">
        <v>490</v>
      </c>
      <c r="G461" s="4" t="s">
        <v>17</v>
      </c>
      <c r="H461" s="4" t="s">
        <v>11</v>
      </c>
    </row>
    <row r="462" spans="1:8" x14ac:dyDescent="0.2">
      <c r="A462" s="4" t="str">
        <f>"03.430/002/2025"</f>
        <v>03.430/002/2025</v>
      </c>
      <c r="B462" s="4" t="str">
        <f>"Wenn aus Stress Konflikte werden - Konfliktkommunikation"</f>
        <v>Wenn aus Stress Konflikte werden - Konfliktkommunikation</v>
      </c>
      <c r="C462" s="5">
        <v>45910</v>
      </c>
      <c r="D462" s="5">
        <v>45912</v>
      </c>
      <c r="E462" s="4" t="str">
        <f t="shared" si="18"/>
        <v>3 Tage</v>
      </c>
      <c r="F462" s="17">
        <v>490</v>
      </c>
      <c r="G462" s="4" t="s">
        <v>17</v>
      </c>
      <c r="H462" s="4" t="s">
        <v>11</v>
      </c>
    </row>
    <row r="463" spans="1:8" x14ac:dyDescent="0.2">
      <c r="A463" s="4" t="str">
        <f>"03.435/001/2025"</f>
        <v>03.435/001/2025</v>
      </c>
      <c r="B463" s="4" t="str">
        <f>"Schlagfertigkeit - bei schwierigen oder unsachlichen Einwänden"</f>
        <v>Schlagfertigkeit - bei schwierigen oder unsachlichen Einwänden</v>
      </c>
      <c r="C463" s="5">
        <v>45705</v>
      </c>
      <c r="D463" s="5">
        <v>45706</v>
      </c>
      <c r="E463" s="4" t="str">
        <f t="shared" ref="E463:E474" si="19">"2 Tage"</f>
        <v>2 Tage</v>
      </c>
      <c r="F463" s="17">
        <v>490</v>
      </c>
      <c r="G463" s="4" t="s">
        <v>17</v>
      </c>
      <c r="H463" s="4" t="s">
        <v>11</v>
      </c>
    </row>
    <row r="464" spans="1:8" x14ac:dyDescent="0.2">
      <c r="A464" s="4" t="str">
        <f>"03.435/002/2025"</f>
        <v>03.435/002/2025</v>
      </c>
      <c r="B464" s="4" t="str">
        <f>"Schlagfertigkeit - bei schwierigen oder unsachlichen Einwänden"</f>
        <v>Schlagfertigkeit - bei schwierigen oder unsachlichen Einwänden</v>
      </c>
      <c r="C464" s="5">
        <v>45769</v>
      </c>
      <c r="D464" s="5">
        <v>45770</v>
      </c>
      <c r="E464" s="4" t="str">
        <f t="shared" si="19"/>
        <v>2 Tage</v>
      </c>
      <c r="F464" s="17">
        <v>490</v>
      </c>
      <c r="G464" s="4" t="s">
        <v>17</v>
      </c>
      <c r="H464" s="4" t="s">
        <v>11</v>
      </c>
    </row>
    <row r="465" spans="1:8" x14ac:dyDescent="0.2">
      <c r="A465" s="4" t="str">
        <f>"03.435/003/2025"</f>
        <v>03.435/003/2025</v>
      </c>
      <c r="B465" s="4" t="str">
        <f>"Schlagfertigkeit - bei schwierigen oder unsachlichen Einwänden"</f>
        <v>Schlagfertigkeit - bei schwierigen oder unsachlichen Einwänden</v>
      </c>
      <c r="C465" s="5">
        <v>45852</v>
      </c>
      <c r="D465" s="5">
        <v>45853</v>
      </c>
      <c r="E465" s="4" t="str">
        <f t="shared" si="19"/>
        <v>2 Tage</v>
      </c>
      <c r="F465" s="17">
        <v>490</v>
      </c>
      <c r="G465" s="4" t="s">
        <v>17</v>
      </c>
      <c r="H465" s="4" t="s">
        <v>11</v>
      </c>
    </row>
    <row r="466" spans="1:8" x14ac:dyDescent="0.2">
      <c r="A466" s="4" t="str">
        <f>"03.435/004/2025"</f>
        <v>03.435/004/2025</v>
      </c>
      <c r="B466" s="4" t="str">
        <f>"Schlagfertigkeit - bei schwierigen oder unsachlichen Einwänden"</f>
        <v>Schlagfertigkeit - bei schwierigen oder unsachlichen Einwänden</v>
      </c>
      <c r="C466" s="5">
        <v>45917</v>
      </c>
      <c r="D466" s="5">
        <v>45918</v>
      </c>
      <c r="E466" s="4" t="str">
        <f t="shared" si="19"/>
        <v>2 Tage</v>
      </c>
      <c r="F466" s="17">
        <v>490</v>
      </c>
      <c r="G466" s="4" t="s">
        <v>17</v>
      </c>
      <c r="H466" s="4" t="s">
        <v>11</v>
      </c>
    </row>
    <row r="467" spans="1:8" x14ac:dyDescent="0.2">
      <c r="A467" s="4" t="str">
        <f>"03.440/001/2025"</f>
        <v>03.440/001/2025</v>
      </c>
      <c r="B467" s="4" t="str">
        <f>"Da bin ich sprachlos - Umgang mit verbalen Attacken und unfairen Angriffen"</f>
        <v>Da bin ich sprachlos - Umgang mit verbalen Attacken und unfairen Angriffen</v>
      </c>
      <c r="C467" s="5">
        <v>45722</v>
      </c>
      <c r="D467" s="5">
        <v>45723</v>
      </c>
      <c r="E467" s="4" t="str">
        <f t="shared" si="19"/>
        <v>2 Tage</v>
      </c>
      <c r="F467" s="17">
        <v>490</v>
      </c>
      <c r="G467" s="4" t="s">
        <v>17</v>
      </c>
      <c r="H467" s="4" t="s">
        <v>11</v>
      </c>
    </row>
    <row r="468" spans="1:8" x14ac:dyDescent="0.2">
      <c r="A468" s="4" t="str">
        <f>"03.440/002/2025"</f>
        <v>03.440/002/2025</v>
      </c>
      <c r="B468" s="4" t="str">
        <f>"Da bin ich sprachlos - Umgang mit verbalen Attacken und unfairen Angriffen"</f>
        <v>Da bin ich sprachlos - Umgang mit verbalen Attacken und unfairen Angriffen</v>
      </c>
      <c r="C468" s="5">
        <v>45904</v>
      </c>
      <c r="D468" s="5">
        <v>45905</v>
      </c>
      <c r="E468" s="4" t="str">
        <f t="shared" si="19"/>
        <v>2 Tage</v>
      </c>
      <c r="F468" s="17">
        <v>490</v>
      </c>
      <c r="G468" s="4" t="s">
        <v>17</v>
      </c>
      <c r="H468" s="4" t="s">
        <v>11</v>
      </c>
    </row>
    <row r="469" spans="1:8" x14ac:dyDescent="0.2">
      <c r="A469" s="4" t="str">
        <f>"03.445/001/2025"</f>
        <v>03.445/001/2025</v>
      </c>
      <c r="B469" s="4" t="str">
        <f>"Platte Sprüche und provokante Parolen - nicht sprachlos bleiben"</f>
        <v>Platte Sprüche und provokante Parolen - nicht sprachlos bleiben</v>
      </c>
      <c r="C469" s="5">
        <v>45820</v>
      </c>
      <c r="D469" s="5">
        <v>45821</v>
      </c>
      <c r="E469" s="4" t="str">
        <f t="shared" si="19"/>
        <v>2 Tage</v>
      </c>
      <c r="F469" s="17">
        <v>430</v>
      </c>
      <c r="G469" s="4" t="s">
        <v>17</v>
      </c>
      <c r="H469" s="4" t="s">
        <v>11</v>
      </c>
    </row>
    <row r="470" spans="1:8" x14ac:dyDescent="0.2">
      <c r="A470" s="4" t="str">
        <f>"03.450/001/2025"</f>
        <v>03.450/001/2025</v>
      </c>
      <c r="B470" s="4" t="str">
        <f>"Bedrohliche Situationen kompetent bewältigen"</f>
        <v>Bedrohliche Situationen kompetent bewältigen</v>
      </c>
      <c r="C470" s="5">
        <v>45726</v>
      </c>
      <c r="D470" s="5">
        <v>45727</v>
      </c>
      <c r="E470" s="4" t="str">
        <f t="shared" si="19"/>
        <v>2 Tage</v>
      </c>
      <c r="F470" s="17">
        <v>490</v>
      </c>
      <c r="G470" s="4" t="s">
        <v>17</v>
      </c>
      <c r="H470" s="4" t="s">
        <v>11</v>
      </c>
    </row>
    <row r="471" spans="1:8" x14ac:dyDescent="0.2">
      <c r="A471" s="4" t="str">
        <f>"03.455/001/2025"</f>
        <v>03.455/001/2025</v>
      </c>
      <c r="B471" s="4" t="str">
        <f>"Konfliktmanagement für Führungskräfte"</f>
        <v>Konfliktmanagement für Führungskräfte</v>
      </c>
      <c r="C471" s="5">
        <v>45733</v>
      </c>
      <c r="D471" s="5">
        <v>45734</v>
      </c>
      <c r="E471" s="4" t="str">
        <f t="shared" si="19"/>
        <v>2 Tage</v>
      </c>
      <c r="F471" s="17">
        <v>490</v>
      </c>
      <c r="G471" s="4" t="s">
        <v>17</v>
      </c>
      <c r="H471" s="4" t="s">
        <v>11</v>
      </c>
    </row>
    <row r="472" spans="1:8" x14ac:dyDescent="0.2">
      <c r="A472" s="4" t="str">
        <f>"03.455/002/2025"</f>
        <v>03.455/002/2025</v>
      </c>
      <c r="B472" s="4" t="str">
        <f>"Konfliktmanagement für Führungskräfte"</f>
        <v>Konfliktmanagement für Führungskräfte</v>
      </c>
      <c r="C472" s="5">
        <v>45978</v>
      </c>
      <c r="D472" s="5">
        <v>45979</v>
      </c>
      <c r="E472" s="4" t="str">
        <f t="shared" si="19"/>
        <v>2 Tage</v>
      </c>
      <c r="F472" s="17">
        <v>490</v>
      </c>
      <c r="G472" s="4" t="s">
        <v>17</v>
      </c>
      <c r="H472" s="4" t="s">
        <v>11</v>
      </c>
    </row>
    <row r="473" spans="1:8" x14ac:dyDescent="0.2">
      <c r="A473" s="4" t="str">
        <f>"03.470/001/2025"</f>
        <v>03.470/001/2025</v>
      </c>
      <c r="B473" s="4" t="str">
        <f>"Konfliktmanagement für Frauen"</f>
        <v>Konfliktmanagement für Frauen</v>
      </c>
      <c r="C473" s="5">
        <v>45698</v>
      </c>
      <c r="D473" s="5">
        <v>45699</v>
      </c>
      <c r="E473" s="4" t="str">
        <f t="shared" si="19"/>
        <v>2 Tage</v>
      </c>
      <c r="F473" s="17">
        <v>490</v>
      </c>
      <c r="G473" s="4" t="s">
        <v>17</v>
      </c>
      <c r="H473" s="4" t="s">
        <v>11</v>
      </c>
    </row>
    <row r="474" spans="1:8" x14ac:dyDescent="0.2">
      <c r="A474" s="4" t="str">
        <f>"03.470/002/2025"</f>
        <v>03.470/002/2025</v>
      </c>
      <c r="B474" s="4" t="str">
        <f>"Konfliktmanagement für Frauen"</f>
        <v>Konfliktmanagement für Frauen</v>
      </c>
      <c r="C474" s="5">
        <v>45957</v>
      </c>
      <c r="D474" s="5">
        <v>45958</v>
      </c>
      <c r="E474" s="4" t="str">
        <f t="shared" si="19"/>
        <v>2 Tage</v>
      </c>
      <c r="F474" s="17">
        <v>490</v>
      </c>
      <c r="G474" s="4" t="s">
        <v>17</v>
      </c>
      <c r="H474" s="4" t="s">
        <v>11</v>
      </c>
    </row>
    <row r="475" spans="1:8" x14ac:dyDescent="0.2">
      <c r="A475" s="4" t="str">
        <f>"03.520/001/2025"</f>
        <v>03.520/001/2025</v>
      </c>
      <c r="B475" s="4" t="str">
        <f>"Führen von Arbeitsgruppen und Teams"</f>
        <v>Führen von Arbeitsgruppen und Teams</v>
      </c>
      <c r="C475" s="5">
        <v>45733</v>
      </c>
      <c r="D475" s="5">
        <v>45799</v>
      </c>
      <c r="E475" s="4" t="str">
        <f>"2x3 Tage"</f>
        <v>2x3 Tage</v>
      </c>
      <c r="F475" s="17">
        <v>1510</v>
      </c>
      <c r="G475" s="4"/>
      <c r="H475" s="4" t="s">
        <v>11</v>
      </c>
    </row>
    <row r="476" spans="1:8" x14ac:dyDescent="0.2">
      <c r="A476" s="4" t="str">
        <f>"03.520/001 a/2025"</f>
        <v>03.520/001 a/2025</v>
      </c>
      <c r="B476" s="4" t="str">
        <f>"Führen von Arbeitsgruppen und Teams"</f>
        <v>Führen von Arbeitsgruppen und Teams</v>
      </c>
      <c r="C476" s="5">
        <v>45733</v>
      </c>
      <c r="D476" s="5">
        <v>45735</v>
      </c>
      <c r="E476" s="4"/>
      <c r="F476" s="17"/>
      <c r="G476" s="4" t="s">
        <v>17</v>
      </c>
      <c r="H476" s="4" t="s">
        <v>11</v>
      </c>
    </row>
    <row r="477" spans="1:8" x14ac:dyDescent="0.2">
      <c r="A477" s="4" t="str">
        <f>"03.520/001 b/2025"</f>
        <v>03.520/001 b/2025</v>
      </c>
      <c r="B477" s="4" t="str">
        <f>"Führen von Arbeitsgruppen und Teams"</f>
        <v>Führen von Arbeitsgruppen und Teams</v>
      </c>
      <c r="C477" s="5">
        <v>45797</v>
      </c>
      <c r="D477" s="5">
        <v>45799</v>
      </c>
      <c r="E477" s="4"/>
      <c r="F477" s="17"/>
      <c r="G477" s="4" t="s">
        <v>17</v>
      </c>
      <c r="H477" s="4" t="s">
        <v>11</v>
      </c>
    </row>
    <row r="478" spans="1:8" x14ac:dyDescent="0.2">
      <c r="A478" s="4" t="str">
        <f>"03.522/001/2025"</f>
        <v>03.522/001/2025</v>
      </c>
      <c r="B478" s="4" t="str">
        <f>"Neues Team, neues Glück - erfolgreiches Teambuilding"</f>
        <v>Neues Team, neues Glück - erfolgreiches Teambuilding</v>
      </c>
      <c r="C478" s="5">
        <v>45792</v>
      </c>
      <c r="D478" s="5">
        <v>45793</v>
      </c>
      <c r="E478" s="4" t="str">
        <f>"2 Tage"</f>
        <v>2 Tage</v>
      </c>
      <c r="F478" s="17">
        <v>490</v>
      </c>
      <c r="G478" s="4" t="s">
        <v>17</v>
      </c>
      <c r="H478" s="4" t="s">
        <v>11</v>
      </c>
    </row>
    <row r="479" spans="1:8" x14ac:dyDescent="0.2">
      <c r="A479" s="4" t="str">
        <f>"03.525/001/2025"</f>
        <v>03.525/001/2025</v>
      </c>
      <c r="B479" s="4" t="str">
        <f>"Ich und die anderen - Selbstführung im Team"</f>
        <v>Ich und die anderen - Selbstführung im Team</v>
      </c>
      <c r="C479" s="5">
        <v>45792</v>
      </c>
      <c r="D479" s="5">
        <v>45793</v>
      </c>
      <c r="E479" s="4" t="str">
        <f>"2 Tage"</f>
        <v>2 Tage</v>
      </c>
      <c r="F479" s="17">
        <v>490</v>
      </c>
      <c r="G479" s="4" t="s">
        <v>17</v>
      </c>
      <c r="H479" s="4" t="s">
        <v>11</v>
      </c>
    </row>
    <row r="480" spans="1:8" x14ac:dyDescent="0.2">
      <c r="A480" s="4" t="str">
        <f>"03.535/001/2025"</f>
        <v>03.535/001/2025</v>
      </c>
      <c r="B480" s="4" t="str">
        <f>"Neue Wege zur Zusammenarbeit - agile Teamentwicklung"</f>
        <v>Neue Wege zur Zusammenarbeit - agile Teamentwicklung</v>
      </c>
      <c r="C480" s="5">
        <v>45755</v>
      </c>
      <c r="D480" s="5">
        <v>45756</v>
      </c>
      <c r="E480" s="4" t="str">
        <f>"2 Tage"</f>
        <v>2 Tage</v>
      </c>
      <c r="F480" s="17">
        <v>490</v>
      </c>
      <c r="G480" s="4" t="s">
        <v>17</v>
      </c>
      <c r="H480" s="4" t="s">
        <v>11</v>
      </c>
    </row>
    <row r="481" spans="1:8" x14ac:dyDescent="0.2">
      <c r="A481" s="4" t="str">
        <f>"03.540/001/2025"</f>
        <v>03.540/001/2025</v>
      </c>
      <c r="B481" s="4" t="str">
        <f>"Miteinander statt gegeneinander - Konflikte im Team erfolgreich managen"</f>
        <v>Miteinander statt gegeneinander - Konflikte im Team erfolgreich managen</v>
      </c>
      <c r="C481" s="5">
        <v>45769</v>
      </c>
      <c r="D481" s="5">
        <v>45770</v>
      </c>
      <c r="E481" s="4" t="str">
        <f>"2 Tage"</f>
        <v>2 Tage</v>
      </c>
      <c r="F481" s="17">
        <v>490</v>
      </c>
      <c r="G481" s="4" t="s">
        <v>17</v>
      </c>
      <c r="H481" s="4" t="s">
        <v>11</v>
      </c>
    </row>
    <row r="482" spans="1:8" x14ac:dyDescent="0.2">
      <c r="A482" s="4" t="str">
        <f>"03.542/001/2025"</f>
        <v>03.542/001/2025</v>
      </c>
      <c r="B482" s="4" t="str">
        <f>"Der Blick nach vorne - Teams neu motivieren"</f>
        <v>Der Blick nach vorne - Teams neu motivieren</v>
      </c>
      <c r="C482" s="5">
        <v>45749</v>
      </c>
      <c r="D482" s="5">
        <v>45750</v>
      </c>
      <c r="E482" s="4" t="str">
        <f>"2 Tage"</f>
        <v>2 Tage</v>
      </c>
      <c r="F482" s="17">
        <v>560</v>
      </c>
      <c r="G482" s="4" t="s">
        <v>14</v>
      </c>
      <c r="H482" s="4" t="s">
        <v>11</v>
      </c>
    </row>
    <row r="483" spans="1:8" x14ac:dyDescent="0.2">
      <c r="A483" s="4" t="str">
        <f>"04.120/001/2025"</f>
        <v>04.120/001/2025</v>
      </c>
      <c r="B483" s="4" t="str">
        <f>"Pressearbeit - Kommunikation mit den Medien"</f>
        <v>Pressearbeit - Kommunikation mit den Medien</v>
      </c>
      <c r="C483" s="5">
        <v>45987</v>
      </c>
      <c r="D483" s="5">
        <v>45989</v>
      </c>
      <c r="E483" s="4" t="str">
        <f>"3 Tage"</f>
        <v>3 Tage</v>
      </c>
      <c r="F483" s="17">
        <v>760</v>
      </c>
      <c r="G483" s="4" t="s">
        <v>14</v>
      </c>
      <c r="H483" s="4" t="s">
        <v>11</v>
      </c>
    </row>
    <row r="484" spans="1:8" x14ac:dyDescent="0.2">
      <c r="A484" s="4" t="str">
        <f>"04.135/001/2025"</f>
        <v>04.135/001/2025</v>
      </c>
      <c r="B484" s="4" t="str">
        <f>"Von der Fachabteilung an die Pressestelle - Informationen für die Medien aufbereiten"</f>
        <v>Von der Fachabteilung an die Pressestelle - Informationen für die Medien aufbereiten</v>
      </c>
      <c r="C484" s="5">
        <v>45838</v>
      </c>
      <c r="D484" s="5">
        <v>45839</v>
      </c>
      <c r="E484" s="4" t="str">
        <f t="shared" ref="E484:E490" si="20">"2 Tage"</f>
        <v>2 Tage</v>
      </c>
      <c r="F484" s="17">
        <v>560</v>
      </c>
      <c r="G484" s="4" t="s">
        <v>17</v>
      </c>
      <c r="H484" s="4" t="s">
        <v>11</v>
      </c>
    </row>
    <row r="485" spans="1:8" x14ac:dyDescent="0.2">
      <c r="A485" s="4" t="str">
        <f>"04.145/001/2025"</f>
        <v>04.145/001/2025</v>
      </c>
      <c r="B485" s="4" t="str">
        <f>"Das strategische Kommunikationskonzept"</f>
        <v>Das strategische Kommunikationskonzept</v>
      </c>
      <c r="C485" s="5">
        <v>45712</v>
      </c>
      <c r="D485" s="5">
        <v>45713</v>
      </c>
      <c r="E485" s="4" t="str">
        <f t="shared" si="20"/>
        <v>2 Tage</v>
      </c>
      <c r="F485" s="17">
        <v>490</v>
      </c>
      <c r="G485" s="4" t="s">
        <v>17</v>
      </c>
      <c r="H485" s="4" t="s">
        <v>11</v>
      </c>
    </row>
    <row r="486" spans="1:8" x14ac:dyDescent="0.2">
      <c r="A486" s="4" t="str">
        <f>"04.155/001/2025"</f>
        <v>04.155/001/2025</v>
      </c>
      <c r="B486" s="4" t="str">
        <f>"Krisen erkennen, meistern und nutzen - Effektives Krisenmanagement"</f>
        <v>Krisen erkennen, meistern und nutzen - Effektives Krisenmanagement</v>
      </c>
      <c r="C486" s="5">
        <v>45834</v>
      </c>
      <c r="D486" s="5">
        <v>45835</v>
      </c>
      <c r="E486" s="4" t="str">
        <f t="shared" si="20"/>
        <v>2 Tage</v>
      </c>
      <c r="F486" s="17">
        <v>560</v>
      </c>
      <c r="G486" s="4" t="s">
        <v>17</v>
      </c>
      <c r="H486" s="4" t="s">
        <v>11</v>
      </c>
    </row>
    <row r="487" spans="1:8" x14ac:dyDescent="0.2">
      <c r="A487" s="4" t="str">
        <f>"04.160/001/2025"</f>
        <v>04.160/001/2025</v>
      </c>
      <c r="B487" s="4" t="str">
        <f>"Öffentlichkeitswirksame Veranstaltungen professionell organisieren"</f>
        <v>Öffentlichkeitswirksame Veranstaltungen professionell organisieren</v>
      </c>
      <c r="C487" s="5">
        <v>45813</v>
      </c>
      <c r="D487" s="5">
        <v>45814</v>
      </c>
      <c r="E487" s="4" t="str">
        <f t="shared" si="20"/>
        <v>2 Tage</v>
      </c>
      <c r="F487" s="17">
        <v>490</v>
      </c>
      <c r="G487" s="4" t="s">
        <v>17</v>
      </c>
      <c r="H487" s="4" t="s">
        <v>11</v>
      </c>
    </row>
    <row r="488" spans="1:8" x14ac:dyDescent="0.2">
      <c r="A488" s="4" t="str">
        <f>"04.230/001/2025"</f>
        <v>04.230/001/2025</v>
      </c>
      <c r="B488" s="4" t="str">
        <f>"Rechtliche Vorgaben für Internet und Social Media"</f>
        <v>Rechtliche Vorgaben für Internet und Social Media</v>
      </c>
      <c r="C488" s="5">
        <v>45925</v>
      </c>
      <c r="D488" s="5">
        <v>45926</v>
      </c>
      <c r="E488" s="4" t="str">
        <f t="shared" si="20"/>
        <v>2 Tage</v>
      </c>
      <c r="F488" s="17">
        <v>490</v>
      </c>
      <c r="G488" s="4" t="s">
        <v>17</v>
      </c>
      <c r="H488" s="4" t="s">
        <v>11</v>
      </c>
    </row>
    <row r="489" spans="1:8" x14ac:dyDescent="0.2">
      <c r="A489" s="4" t="str">
        <f>"04.255/001/2025"</f>
        <v>04.255/001/2025</v>
      </c>
      <c r="B489" s="4" t="str">
        <f>"Workshop: Videos mit dem Smartphone drehen und schneiden"</f>
        <v>Workshop: Videos mit dem Smartphone drehen und schneiden</v>
      </c>
      <c r="C489" s="5">
        <v>45736</v>
      </c>
      <c r="D489" s="5">
        <v>45737</v>
      </c>
      <c r="E489" s="4" t="str">
        <f t="shared" si="20"/>
        <v>2 Tage</v>
      </c>
      <c r="F489" s="17">
        <v>660</v>
      </c>
      <c r="G489" s="4" t="s">
        <v>17</v>
      </c>
      <c r="H489" s="4" t="s">
        <v>11</v>
      </c>
    </row>
    <row r="490" spans="1:8" x14ac:dyDescent="0.2">
      <c r="A490" s="4" t="str">
        <f>"04.260/001/2025"</f>
        <v>04.260/001/2025</v>
      </c>
      <c r="B490" s="4" t="str">
        <f>"Gute Podcasts - Worauf es ankommt"</f>
        <v>Gute Podcasts - Worauf es ankommt</v>
      </c>
      <c r="C490" s="5">
        <v>45799</v>
      </c>
      <c r="D490" s="5">
        <v>45800</v>
      </c>
      <c r="E490" s="4" t="str">
        <f t="shared" si="20"/>
        <v>2 Tage</v>
      </c>
      <c r="F490" s="17">
        <v>490</v>
      </c>
      <c r="G490" s="4" t="s">
        <v>14</v>
      </c>
      <c r="H490" s="4" t="s">
        <v>11</v>
      </c>
    </row>
    <row r="491" spans="1:8" x14ac:dyDescent="0.2">
      <c r="A491" s="4" t="str">
        <f>"04.320/001/2025"</f>
        <v>04.320/001/2025</v>
      </c>
      <c r="B491" s="4" t="str">
        <f>"Moderne Verwaltungssprache - klar, verständlich, adressatengerecht"</f>
        <v>Moderne Verwaltungssprache - klar, verständlich, adressatengerecht</v>
      </c>
      <c r="C491" s="5">
        <v>45714</v>
      </c>
      <c r="D491" s="5">
        <v>45716</v>
      </c>
      <c r="E491" s="4" t="str">
        <f>"3 Tage"</f>
        <v>3 Tage</v>
      </c>
      <c r="F491" s="17">
        <v>760</v>
      </c>
      <c r="G491" s="4" t="s">
        <v>17</v>
      </c>
      <c r="H491" s="4" t="s">
        <v>11</v>
      </c>
    </row>
    <row r="492" spans="1:8" x14ac:dyDescent="0.2">
      <c r="A492" s="4" t="str">
        <f>"04.325/001/2025"</f>
        <v>04.325/001/2025</v>
      </c>
      <c r="B492" s="4" t="str">
        <f>"Damit Ihre Bürgernähe ankommt - punktgenauer Stil in Briefen und Verwaltungstexten"</f>
        <v>Damit Ihre Bürgernähe ankommt - punktgenauer Stil in Briefen und Verwaltungstexten</v>
      </c>
      <c r="C492" s="5">
        <v>45818</v>
      </c>
      <c r="D492" s="5">
        <v>45819</v>
      </c>
      <c r="E492" s="4" t="str">
        <f t="shared" ref="E492:E497" si="21">"2 Tage"</f>
        <v>2 Tage</v>
      </c>
      <c r="F492" s="17">
        <v>490</v>
      </c>
      <c r="G492" s="4" t="s">
        <v>17</v>
      </c>
      <c r="H492" s="4" t="s">
        <v>11</v>
      </c>
    </row>
    <row r="493" spans="1:8" x14ac:dyDescent="0.2">
      <c r="A493" s="4" t="str">
        <f>"04.330/001/2025"</f>
        <v>04.330/001/2025</v>
      </c>
      <c r="B493" s="4" t="str">
        <f>"Themensetting und Storytelling - Geschichten entwickeln und nutzen "</f>
        <v xml:space="preserve">Themensetting und Storytelling - Geschichten entwickeln und nutzen </v>
      </c>
      <c r="C493" s="5">
        <v>45736</v>
      </c>
      <c r="D493" s="5">
        <v>45737</v>
      </c>
      <c r="E493" s="4" t="str">
        <f t="shared" si="21"/>
        <v>2 Tage</v>
      </c>
      <c r="F493" s="17">
        <v>490</v>
      </c>
      <c r="G493" s="4" t="s">
        <v>17</v>
      </c>
      <c r="H493" s="4" t="s">
        <v>11</v>
      </c>
    </row>
    <row r="494" spans="1:8" x14ac:dyDescent="0.2">
      <c r="A494" s="4" t="str">
        <f>"04.335/001/2025"</f>
        <v>04.335/001/2025</v>
      </c>
      <c r="B494" s="4" t="str">
        <f>"Schreibwerkstatt - auf den Punkt kommen"</f>
        <v>Schreibwerkstatt - auf den Punkt kommen</v>
      </c>
      <c r="C494" s="5">
        <v>45796</v>
      </c>
      <c r="D494" s="5">
        <v>45797</v>
      </c>
      <c r="E494" s="4" t="str">
        <f t="shared" si="21"/>
        <v>2 Tage</v>
      </c>
      <c r="F494" s="17">
        <v>560</v>
      </c>
      <c r="G494" s="4" t="s">
        <v>17</v>
      </c>
      <c r="H494" s="4" t="s">
        <v>11</v>
      </c>
    </row>
    <row r="495" spans="1:8" x14ac:dyDescent="0.2">
      <c r="A495" s="4" t="str">
        <f>"04.335/002/2025"</f>
        <v>04.335/002/2025</v>
      </c>
      <c r="B495" s="4" t="str">
        <f>"Schreibwerkstatt - auf den Punkt kommen"</f>
        <v>Schreibwerkstatt - auf den Punkt kommen</v>
      </c>
      <c r="C495" s="5">
        <v>46001</v>
      </c>
      <c r="D495" s="5">
        <v>46002</v>
      </c>
      <c r="E495" s="4" t="str">
        <f t="shared" si="21"/>
        <v>2 Tage</v>
      </c>
      <c r="F495" s="17">
        <v>560</v>
      </c>
      <c r="G495" s="4" t="s">
        <v>17</v>
      </c>
      <c r="H495" s="4" t="s">
        <v>11</v>
      </c>
    </row>
    <row r="496" spans="1:8" x14ac:dyDescent="0.2">
      <c r="A496" s="4" t="str">
        <f>"04.337/001/2025"</f>
        <v>04.337/001/2025</v>
      </c>
      <c r="B496" s="4" t="str">
        <f>"Vermerke und Co. - Verwaltungstexte optimal strukturieren und formulieren"</f>
        <v>Vermerke und Co. - Verwaltungstexte optimal strukturieren und formulieren</v>
      </c>
      <c r="C496" s="5">
        <v>45726</v>
      </c>
      <c r="D496" s="5">
        <v>45727</v>
      </c>
      <c r="E496" s="4" t="str">
        <f t="shared" si="21"/>
        <v>2 Tage</v>
      </c>
      <c r="F496" s="17">
        <v>490</v>
      </c>
      <c r="G496" s="4" t="s">
        <v>17</v>
      </c>
      <c r="H496" s="4" t="s">
        <v>11</v>
      </c>
    </row>
    <row r="497" spans="1:8" x14ac:dyDescent="0.2">
      <c r="A497" s="4" t="str">
        <f>"04.337/002/2025"</f>
        <v>04.337/002/2025</v>
      </c>
      <c r="B497" s="4" t="str">
        <f>"Vermerke und Co. - Verwaltungstexte optimal strukturieren und formulieren"</f>
        <v>Vermerke und Co. - Verwaltungstexte optimal strukturieren und formulieren</v>
      </c>
      <c r="C497" s="5">
        <v>45917</v>
      </c>
      <c r="D497" s="5">
        <v>45918</v>
      </c>
      <c r="E497" s="4" t="str">
        <f t="shared" si="21"/>
        <v>2 Tage</v>
      </c>
      <c r="F497" s="17">
        <v>490</v>
      </c>
      <c r="G497" s="4" t="s">
        <v>17</v>
      </c>
      <c r="H497" s="4" t="s">
        <v>11</v>
      </c>
    </row>
    <row r="498" spans="1:8" x14ac:dyDescent="0.2">
      <c r="A498" s="4" t="str">
        <f>"04.345/001/2025"</f>
        <v>04.345/001/2025</v>
      </c>
      <c r="B498" s="4" t="str">
        <f>"Reden entwerfen und schreiben"</f>
        <v>Reden entwerfen und schreiben</v>
      </c>
      <c r="C498" s="5">
        <v>45671</v>
      </c>
      <c r="D498" s="5">
        <v>45673</v>
      </c>
      <c r="E498" s="4" t="str">
        <f>"3 Tage"</f>
        <v>3 Tage</v>
      </c>
      <c r="F498" s="17">
        <v>860</v>
      </c>
      <c r="G498" s="4" t="s">
        <v>17</v>
      </c>
      <c r="H498" s="4" t="s">
        <v>11</v>
      </c>
    </row>
    <row r="499" spans="1:8" x14ac:dyDescent="0.2">
      <c r="A499" s="4" t="str">
        <f>"04.345/002/2025"</f>
        <v>04.345/002/2025</v>
      </c>
      <c r="B499" s="4" t="str">
        <f>"Reden entwerfen und schreiben"</f>
        <v>Reden entwerfen und schreiben</v>
      </c>
      <c r="C499" s="5">
        <v>45917</v>
      </c>
      <c r="D499" s="5">
        <v>45919</v>
      </c>
      <c r="E499" s="4" t="str">
        <f>"3 Tage"</f>
        <v>3 Tage</v>
      </c>
      <c r="F499" s="17">
        <v>860</v>
      </c>
      <c r="G499" s="4" t="s">
        <v>17</v>
      </c>
      <c r="H499" s="4" t="s">
        <v>11</v>
      </c>
    </row>
    <row r="500" spans="1:8" x14ac:dyDescent="0.2">
      <c r="A500" s="4" t="str">
        <f>"05.110/001/2025"</f>
        <v>05.110/001/2025</v>
      </c>
      <c r="B500" s="4" t="str">
        <f>"Das Tätigkeitsfeld der Gleichstellungsbeauftragten inkl. rechtlicher Aspekte - Einführung"</f>
        <v>Das Tätigkeitsfeld der Gleichstellungsbeauftragten inkl. rechtlicher Aspekte - Einführung</v>
      </c>
      <c r="C500" s="5">
        <v>45670</v>
      </c>
      <c r="D500" s="5">
        <v>45672</v>
      </c>
      <c r="E500" s="4" t="str">
        <f>"3 Tage"</f>
        <v>3 Tage</v>
      </c>
      <c r="F500" s="17">
        <v>980</v>
      </c>
      <c r="G500" s="4" t="s">
        <v>17</v>
      </c>
      <c r="H500" s="4" t="s">
        <v>11</v>
      </c>
    </row>
    <row r="501" spans="1:8" x14ac:dyDescent="0.2">
      <c r="A501" s="4" t="str">
        <f>"05.110/002/2025"</f>
        <v>05.110/002/2025</v>
      </c>
      <c r="B501" s="4" t="str">
        <f>"Das Tätigkeitsfeld der Gleichstellungsbeauftragten inkl. rechtlicher Aspekte - Einführung"</f>
        <v>Das Tätigkeitsfeld der Gleichstellungsbeauftragten inkl. rechtlicher Aspekte - Einführung</v>
      </c>
      <c r="C501" s="5">
        <v>45866</v>
      </c>
      <c r="D501" s="5">
        <v>45868</v>
      </c>
      <c r="E501" s="4" t="str">
        <f>"3 Tage"</f>
        <v>3 Tage</v>
      </c>
      <c r="F501" s="17">
        <v>980</v>
      </c>
      <c r="G501" s="4" t="s">
        <v>17</v>
      </c>
      <c r="H501" s="4" t="s">
        <v>11</v>
      </c>
    </row>
    <row r="502" spans="1:8" x14ac:dyDescent="0.2">
      <c r="A502" s="4" t="str">
        <f>"05.120/001/2025"</f>
        <v>05.120/001/2025</v>
      </c>
      <c r="B502" s="4" t="str">
        <f>"Das Tätigkeitsfeld der Gleichstellungsbeauftragten inkl. rechtlicher Aspekte - Vertiefung"</f>
        <v>Das Tätigkeitsfeld der Gleichstellungsbeauftragten inkl. rechtlicher Aspekte - Vertiefung</v>
      </c>
      <c r="C502" s="5">
        <v>46002</v>
      </c>
      <c r="D502" s="5">
        <v>46003</v>
      </c>
      <c r="E502" s="4" t="str">
        <f>"2 Tage"</f>
        <v>2 Tage</v>
      </c>
      <c r="F502" s="17">
        <v>630</v>
      </c>
      <c r="G502" s="4" t="s">
        <v>17</v>
      </c>
      <c r="H502" s="4" t="s">
        <v>11</v>
      </c>
    </row>
    <row r="503" spans="1:8" x14ac:dyDescent="0.2">
      <c r="A503" s="4" t="str">
        <f>"05.130/001/2025"</f>
        <v>05.130/001/2025</v>
      </c>
      <c r="B503" s="4" t="str">
        <f>"Gleichstellung in a nutshell: Basiswissen für Gleichstellungsbeauftragte"</f>
        <v>Gleichstellung in a nutshell: Basiswissen für Gleichstellungsbeauftragte</v>
      </c>
      <c r="C503" s="5">
        <v>45932</v>
      </c>
      <c r="D503" s="5">
        <v>45932</v>
      </c>
      <c r="E503" s="4" t="str">
        <f>"1 Tag"</f>
        <v>1 Tag</v>
      </c>
      <c r="F503" s="17">
        <v>240</v>
      </c>
      <c r="G503" s="4" t="s">
        <v>14</v>
      </c>
      <c r="H503" s="4" t="s">
        <v>11</v>
      </c>
    </row>
    <row r="504" spans="1:8" x14ac:dyDescent="0.2">
      <c r="A504" s="4" t="str">
        <f>"05.140/001/2025"</f>
        <v>05.140/001/2025</v>
      </c>
      <c r="B504" s="4" t="str">
        <f>"Kompetent im Beurteilungsverfahren - für Gleichstellungsbeauftragte"</f>
        <v>Kompetent im Beurteilungsverfahren - für Gleichstellungsbeauftragte</v>
      </c>
      <c r="C504" s="5">
        <v>45838</v>
      </c>
      <c r="D504" s="5">
        <v>45839</v>
      </c>
      <c r="E504" s="4" t="str">
        <f>"2 Tage"</f>
        <v>2 Tage</v>
      </c>
      <c r="F504" s="17">
        <v>760</v>
      </c>
      <c r="G504" s="4" t="s">
        <v>17</v>
      </c>
      <c r="H504" s="4" t="s">
        <v>11</v>
      </c>
    </row>
    <row r="505" spans="1:8" x14ac:dyDescent="0.2">
      <c r="A505" s="4" t="str">
        <f>"05.150/001/2025"</f>
        <v>05.150/001/2025</v>
      </c>
      <c r="B505" s="4" t="str">
        <f>"Gender-Mainstreaming: eine Strategie der Gleichstellungsarbeit"</f>
        <v>Gender-Mainstreaming: eine Strategie der Gleichstellungsarbeit</v>
      </c>
      <c r="C505" s="5">
        <v>45957</v>
      </c>
      <c r="D505" s="5">
        <v>45957</v>
      </c>
      <c r="E505" s="4" t="str">
        <f>"1 Tag"</f>
        <v>1 Tag</v>
      </c>
      <c r="F505" s="17">
        <v>220</v>
      </c>
      <c r="G505" s="4" t="s">
        <v>17</v>
      </c>
      <c r="H505" s="4" t="s">
        <v>11</v>
      </c>
    </row>
    <row r="506" spans="1:8" x14ac:dyDescent="0.2">
      <c r="A506" s="4" t="str">
        <f>"05.160/001/2025"</f>
        <v>05.160/001/2025</v>
      </c>
      <c r="B506" s="4" t="str">
        <f>"Netzwerkstatt Gleichstellungsbeauftragte"</f>
        <v>Netzwerkstatt Gleichstellungsbeauftragte</v>
      </c>
      <c r="C506" s="5">
        <v>45684</v>
      </c>
      <c r="D506" s="5">
        <v>46134</v>
      </c>
      <c r="E506" s="4" t="str">
        <f>"3x2 Tage"</f>
        <v>3x2 Tage</v>
      </c>
      <c r="F506" s="17">
        <v>1580</v>
      </c>
      <c r="G506" s="4"/>
      <c r="H506" s="4" t="s">
        <v>11</v>
      </c>
    </row>
    <row r="507" spans="1:8" x14ac:dyDescent="0.2">
      <c r="A507" s="4" t="str">
        <f>"05.160/001 a/2025"</f>
        <v>05.160/001 a/2025</v>
      </c>
      <c r="B507" s="4" t="str">
        <f>"Netzwerkstatt Gleichstellungsbeauftragte"</f>
        <v>Netzwerkstatt Gleichstellungsbeauftragte</v>
      </c>
      <c r="C507" s="5">
        <v>45684</v>
      </c>
      <c r="D507" s="5">
        <v>45685</v>
      </c>
      <c r="E507" s="4"/>
      <c r="F507" s="17"/>
      <c r="G507" s="4" t="s">
        <v>14</v>
      </c>
      <c r="H507" s="4" t="s">
        <v>11</v>
      </c>
    </row>
    <row r="508" spans="1:8" x14ac:dyDescent="0.2">
      <c r="A508" s="4" t="str">
        <f>"05.160/001 b/2025"</f>
        <v>05.160/001 b/2025</v>
      </c>
      <c r="B508" s="4" t="str">
        <f>"Netzwerkstatt Gleichstellungsbeauftragte"</f>
        <v>Netzwerkstatt Gleichstellungsbeauftragte</v>
      </c>
      <c r="C508" s="5">
        <v>45911</v>
      </c>
      <c r="D508" s="5">
        <v>45912</v>
      </c>
      <c r="E508" s="4"/>
      <c r="F508" s="17"/>
      <c r="G508" s="4" t="s">
        <v>14</v>
      </c>
      <c r="H508" s="4" t="s">
        <v>11</v>
      </c>
    </row>
    <row r="509" spans="1:8" x14ac:dyDescent="0.2">
      <c r="A509" s="4" t="str">
        <f>"05.160/001 c/2025"</f>
        <v>05.160/001 c/2025</v>
      </c>
      <c r="B509" s="4" t="str">
        <f>"Netzwerkstatt Gleichstellungsbeauftragte"</f>
        <v>Netzwerkstatt Gleichstellungsbeauftragte</v>
      </c>
      <c r="C509" s="5">
        <v>46133</v>
      </c>
      <c r="D509" s="5">
        <v>46134</v>
      </c>
      <c r="E509" s="4"/>
      <c r="F509" s="17"/>
      <c r="G509" s="4" t="s">
        <v>14</v>
      </c>
      <c r="H509" s="4" t="s">
        <v>11</v>
      </c>
    </row>
    <row r="510" spans="1:8" x14ac:dyDescent="0.2">
      <c r="A510" s="4" t="str">
        <f>"05.170/001/2025"</f>
        <v>05.170/001/2025</v>
      </c>
      <c r="B510" s="4" t="str">
        <f>"Präsenztraining für Gleichstellungsbeauftragte"</f>
        <v>Präsenztraining für Gleichstellungsbeauftragte</v>
      </c>
      <c r="C510" s="5">
        <v>45726</v>
      </c>
      <c r="D510" s="5">
        <v>45727</v>
      </c>
      <c r="E510" s="4" t="str">
        <f>"2 Tage"</f>
        <v>2 Tage</v>
      </c>
      <c r="F510" s="17">
        <v>560</v>
      </c>
      <c r="G510" s="4" t="s">
        <v>14</v>
      </c>
      <c r="H510" s="4" t="s">
        <v>11</v>
      </c>
    </row>
    <row r="511" spans="1:8" x14ac:dyDescent="0.2">
      <c r="A511" s="4" t="str">
        <f>"05.170/002/2025"</f>
        <v>05.170/002/2025</v>
      </c>
      <c r="B511" s="4" t="str">
        <f>"Präsenztraining für Gleichstellungsbeauftragte"</f>
        <v>Präsenztraining für Gleichstellungsbeauftragte</v>
      </c>
      <c r="C511" s="5">
        <v>45958</v>
      </c>
      <c r="D511" s="5">
        <v>45959</v>
      </c>
      <c r="E511" s="4" t="str">
        <f>"2 Tage"</f>
        <v>2 Tage</v>
      </c>
      <c r="F511" s="17">
        <v>560</v>
      </c>
      <c r="G511" s="4" t="s">
        <v>14</v>
      </c>
      <c r="H511" s="4" t="s">
        <v>11</v>
      </c>
    </row>
    <row r="512" spans="1:8" x14ac:dyDescent="0.2">
      <c r="A512" s="4" t="str">
        <f>"05.210/001/2025"</f>
        <v>05.210/001/2025</v>
      </c>
      <c r="B512" s="4" t="str">
        <f>"Wege aus der Gender-Falle: Einführung"</f>
        <v>Wege aus der Gender-Falle: Einführung</v>
      </c>
      <c r="C512" s="5">
        <v>45818</v>
      </c>
      <c r="D512" s="5">
        <v>45819</v>
      </c>
      <c r="E512" s="4" t="str">
        <f>"2 Tage"</f>
        <v>2 Tage</v>
      </c>
      <c r="F512" s="17">
        <v>490</v>
      </c>
      <c r="G512" s="4" t="s">
        <v>14</v>
      </c>
      <c r="H512" s="4" t="s">
        <v>11</v>
      </c>
    </row>
    <row r="513" spans="1:8" x14ac:dyDescent="0.2">
      <c r="A513" s="4" t="str">
        <f>"05.230/001/2025"</f>
        <v>05.230/001/2025</v>
      </c>
      <c r="B513" s="4" t="str">
        <f>"Inklusive Vielfalt - Grundlagen eines diversityorientierten Perspektivwechsels"</f>
        <v>Inklusive Vielfalt - Grundlagen eines diversityorientierten Perspektivwechsels</v>
      </c>
      <c r="C513" s="5">
        <v>45996</v>
      </c>
      <c r="D513" s="5">
        <v>45996</v>
      </c>
      <c r="E513" s="4" t="str">
        <f>"1 Tag"</f>
        <v>1 Tag</v>
      </c>
      <c r="F513" s="17">
        <v>220</v>
      </c>
      <c r="G513" s="4" t="s">
        <v>17</v>
      </c>
      <c r="H513" s="4" t="s">
        <v>11</v>
      </c>
    </row>
    <row r="514" spans="1:8" x14ac:dyDescent="0.2">
      <c r="A514" s="4" t="str">
        <f>"05.240/001/2025"</f>
        <v>05.240/001/2025</v>
      </c>
      <c r="B514" s="4" t="str">
        <f>"Vielfältige Verwaltung - Queer leben und arbeiten"</f>
        <v>Vielfältige Verwaltung - Queer leben und arbeiten</v>
      </c>
      <c r="C514" s="5">
        <v>45680</v>
      </c>
      <c r="D514" s="5">
        <v>45681</v>
      </c>
      <c r="E514" s="4" t="str">
        <f>"2 Tage"</f>
        <v>2 Tage</v>
      </c>
      <c r="F514" s="17">
        <v>490</v>
      </c>
      <c r="G514" s="4" t="s">
        <v>17</v>
      </c>
      <c r="H514" s="4" t="s">
        <v>11</v>
      </c>
    </row>
    <row r="515" spans="1:8" x14ac:dyDescent="0.2">
      <c r="A515" s="4" t="str">
        <f>"05.250/001/2025"</f>
        <v>05.250/001/2025</v>
      </c>
      <c r="B515" s="4" t="str">
        <f>"Zwischen Fürsorgearbeit und Erwerbstätigkeit: Vereinbarkeit, Verantwortung und Vision - Blended Learning"</f>
        <v>Zwischen Fürsorgearbeit und Erwerbstätigkeit: Vereinbarkeit, Verantwortung und Vision - Blended Learning</v>
      </c>
      <c r="C515" s="5">
        <v>45674</v>
      </c>
      <c r="D515" s="5">
        <v>45902</v>
      </c>
      <c r="E515" s="4" t="str">
        <f>"1 x 1 Tag Präsenz 2 x 1 Tag Online"</f>
        <v>1 x 1 Tag Präsenz 2 x 1 Tag Online</v>
      </c>
      <c r="F515" s="17">
        <v>530</v>
      </c>
      <c r="G515" s="4"/>
      <c r="H515" s="4" t="s">
        <v>11</v>
      </c>
    </row>
    <row r="516" spans="1:8" x14ac:dyDescent="0.2">
      <c r="A516" s="4" t="str">
        <f>"05.250/001 a/2025"</f>
        <v>05.250/001 a/2025</v>
      </c>
      <c r="B516" s="4" t="str">
        <f>"Zwischen Fürsorgearbeit und Erwerbstätigkeit: Vereinbarkeit, Verantwortung und Vision"</f>
        <v>Zwischen Fürsorgearbeit und Erwerbstätigkeit: Vereinbarkeit, Verantwortung und Vision</v>
      </c>
      <c r="C516" s="5">
        <v>45674</v>
      </c>
      <c r="D516" s="5">
        <v>45674</v>
      </c>
      <c r="E516" s="4"/>
      <c r="F516" s="17"/>
      <c r="G516" s="4" t="s">
        <v>17</v>
      </c>
      <c r="H516" s="4" t="s">
        <v>11</v>
      </c>
    </row>
    <row r="517" spans="1:8" x14ac:dyDescent="0.2">
      <c r="A517" s="4" t="str">
        <f>"05.250/001 b/2025"</f>
        <v>05.250/001 b/2025</v>
      </c>
      <c r="B517" s="4" t="str">
        <f>"Zwischen Fürsorgearbeit und Erwerbstätigkeit: Vereinbarkeit, Verantwortung und Vision"</f>
        <v>Zwischen Fürsorgearbeit und Erwerbstätigkeit: Vereinbarkeit, Verantwortung und Vision</v>
      </c>
      <c r="C517" s="5">
        <v>45729</v>
      </c>
      <c r="D517" s="5">
        <v>45729</v>
      </c>
      <c r="E517" s="4"/>
      <c r="F517" s="17"/>
      <c r="G517" s="4" t="s">
        <v>17</v>
      </c>
      <c r="H517" s="4" t="s">
        <v>11</v>
      </c>
    </row>
    <row r="518" spans="1:8" x14ac:dyDescent="0.2">
      <c r="A518" s="4" t="str">
        <f>"05.250/001 c/2025"</f>
        <v>05.250/001 c/2025</v>
      </c>
      <c r="B518" s="4" t="str">
        <f>"Zwischen Fürsorgearbeit und Erwerbstätigkeit: Vereinbarkeit, Verantwortung und Vision"</f>
        <v>Zwischen Fürsorgearbeit und Erwerbstätigkeit: Vereinbarkeit, Verantwortung und Vision</v>
      </c>
      <c r="C518" s="5">
        <v>45902</v>
      </c>
      <c r="D518" s="5">
        <v>45902</v>
      </c>
      <c r="E518" s="4"/>
      <c r="F518" s="17"/>
      <c r="G518" s="4" t="s">
        <v>17</v>
      </c>
      <c r="H518" s="4" t="s">
        <v>11</v>
      </c>
    </row>
    <row r="519" spans="1:8" x14ac:dyDescent="0.2">
      <c r="A519" s="4" t="str">
        <f>"05.260/001/2025"</f>
        <v>05.260/001/2025</v>
      </c>
      <c r="B519" s="4" t="str">
        <f>"Spielregeln und Stereotype im Job Schwerpunkt Geschlechterdynamiken "</f>
        <v xml:space="preserve">Spielregeln und Stereotype im Job Schwerpunkt Geschlechterdynamiken </v>
      </c>
      <c r="C519" s="5">
        <v>45894</v>
      </c>
      <c r="D519" s="5">
        <v>45894</v>
      </c>
      <c r="E519" s="4" t="str">
        <f>"1 Tag"</f>
        <v>1 Tag</v>
      </c>
      <c r="F519" s="17">
        <v>230</v>
      </c>
      <c r="G519" s="4" t="s">
        <v>17</v>
      </c>
      <c r="H519" s="4" t="s">
        <v>11</v>
      </c>
    </row>
    <row r="520" spans="1:8" x14ac:dyDescent="0.2">
      <c r="A520" s="4" t="str">
        <f>"05.280/001/2025"</f>
        <v>05.280/001/2025</v>
      </c>
      <c r="B520" s="4" t="str">
        <f>"Fit für Vielfalt - kultursensibel entscheiden und handeln in der Landesverwaltung"</f>
        <v>Fit für Vielfalt - kultursensibel entscheiden und handeln in der Landesverwaltung</v>
      </c>
      <c r="C520" s="5">
        <v>45959</v>
      </c>
      <c r="D520" s="5">
        <v>45960</v>
      </c>
      <c r="E520" s="4" t="str">
        <f t="shared" ref="E520:E531" si="22">"2 Tage"</f>
        <v>2 Tage</v>
      </c>
      <c r="F520" s="17">
        <v>560</v>
      </c>
      <c r="G520" s="4" t="s">
        <v>17</v>
      </c>
      <c r="H520" s="4" t="s">
        <v>11</v>
      </c>
    </row>
    <row r="521" spans="1:8" x14ac:dyDescent="0.2">
      <c r="A521" s="4" t="str">
        <f>"05.310/001/2025"</f>
        <v>05.310/001/2025</v>
      </c>
      <c r="B521" s="4" t="str">
        <f>"Life-Balance für Hörgeschädigte und Gehörlose"</f>
        <v>Life-Balance für Hörgeschädigte und Gehörlose</v>
      </c>
      <c r="C521" s="5">
        <v>45712</v>
      </c>
      <c r="D521" s="5">
        <v>45713</v>
      </c>
      <c r="E521" s="4" t="str">
        <f t="shared" si="22"/>
        <v>2 Tage</v>
      </c>
      <c r="F521" s="17">
        <v>490</v>
      </c>
      <c r="G521" s="4" t="s">
        <v>17</v>
      </c>
      <c r="H521" s="4" t="s">
        <v>11</v>
      </c>
    </row>
    <row r="522" spans="1:8" x14ac:dyDescent="0.2">
      <c r="A522" s="4" t="str">
        <f>"05.315/001/2025"</f>
        <v>05.315/001/2025</v>
      </c>
      <c r="B522" s="4" t="str">
        <f>"Workshop: Gehörlose, Hörgeminderte und Hörende im Dialog"</f>
        <v>Workshop: Gehörlose, Hörgeminderte und Hörende im Dialog</v>
      </c>
      <c r="C522" s="5">
        <v>45740</v>
      </c>
      <c r="D522" s="5">
        <v>45741</v>
      </c>
      <c r="E522" s="4" t="str">
        <f t="shared" si="22"/>
        <v>2 Tage</v>
      </c>
      <c r="F522" s="17">
        <v>490</v>
      </c>
      <c r="G522" s="4" t="s">
        <v>17</v>
      </c>
      <c r="H522" s="4" t="s">
        <v>11</v>
      </c>
    </row>
    <row r="523" spans="1:8" x14ac:dyDescent="0.2">
      <c r="A523" s="4" t="str">
        <f>"06.110/001/2025"</f>
        <v>06.110/001/2025</v>
      </c>
      <c r="B523" s="4" t="str">
        <f>"Persönliche Arbeits- und Organisationstechnik"</f>
        <v>Persönliche Arbeits- und Organisationstechnik</v>
      </c>
      <c r="C523" s="5">
        <v>45740</v>
      </c>
      <c r="D523" s="5">
        <v>45741</v>
      </c>
      <c r="E523" s="4" t="str">
        <f t="shared" si="22"/>
        <v>2 Tage</v>
      </c>
      <c r="F523" s="17">
        <v>490</v>
      </c>
      <c r="G523" s="4" t="s">
        <v>17</v>
      </c>
      <c r="H523" s="4" t="s">
        <v>11</v>
      </c>
    </row>
    <row r="524" spans="1:8" x14ac:dyDescent="0.2">
      <c r="A524" s="4" t="str">
        <f>"06.110/002/2025"</f>
        <v>06.110/002/2025</v>
      </c>
      <c r="B524" s="4" t="str">
        <f>"Persönliche Arbeits- und Organisationstechnik"</f>
        <v>Persönliche Arbeits- und Organisationstechnik</v>
      </c>
      <c r="C524" s="5">
        <v>45845</v>
      </c>
      <c r="D524" s="5">
        <v>45846</v>
      </c>
      <c r="E524" s="4" t="str">
        <f t="shared" si="22"/>
        <v>2 Tage</v>
      </c>
      <c r="F524" s="17">
        <v>490</v>
      </c>
      <c r="G524" s="4" t="s">
        <v>17</v>
      </c>
      <c r="H524" s="4" t="s">
        <v>11</v>
      </c>
    </row>
    <row r="525" spans="1:8" x14ac:dyDescent="0.2">
      <c r="A525" s="4" t="str">
        <f>"06.110/003/2025"</f>
        <v>06.110/003/2025</v>
      </c>
      <c r="B525" s="4" t="str">
        <f>"Persönliche Arbeits- und Organisationstechnik"</f>
        <v>Persönliche Arbeits- und Organisationstechnik</v>
      </c>
      <c r="C525" s="5">
        <v>45922</v>
      </c>
      <c r="D525" s="5">
        <v>45923</v>
      </c>
      <c r="E525" s="4" t="str">
        <f t="shared" si="22"/>
        <v>2 Tage</v>
      </c>
      <c r="F525" s="17">
        <v>490</v>
      </c>
      <c r="G525" s="4" t="s">
        <v>17</v>
      </c>
      <c r="H525" s="4" t="s">
        <v>11</v>
      </c>
    </row>
    <row r="526" spans="1:8" x14ac:dyDescent="0.2">
      <c r="A526" s="4" t="str">
        <f>"06.115/001/2025"</f>
        <v>06.115/001/2025</v>
      </c>
      <c r="B526" s="4" t="str">
        <f>"Effektives Zeit- und Selbstmanagement"</f>
        <v>Effektives Zeit- und Selbstmanagement</v>
      </c>
      <c r="C526" s="5">
        <v>45720</v>
      </c>
      <c r="D526" s="5">
        <v>45721</v>
      </c>
      <c r="E526" s="4" t="str">
        <f t="shared" si="22"/>
        <v>2 Tage</v>
      </c>
      <c r="F526" s="17">
        <v>490</v>
      </c>
      <c r="G526" s="4" t="s">
        <v>17</v>
      </c>
      <c r="H526" s="4" t="s">
        <v>11</v>
      </c>
    </row>
    <row r="527" spans="1:8" x14ac:dyDescent="0.2">
      <c r="A527" s="4" t="str">
        <f>"06.115/002/2025"</f>
        <v>06.115/002/2025</v>
      </c>
      <c r="B527" s="4" t="str">
        <f>"Effektives Zeit- und Selbstmanagement"</f>
        <v>Effektives Zeit- und Selbstmanagement</v>
      </c>
      <c r="C527" s="5">
        <v>45833</v>
      </c>
      <c r="D527" s="5">
        <v>45834</v>
      </c>
      <c r="E527" s="4" t="str">
        <f t="shared" si="22"/>
        <v>2 Tage</v>
      </c>
      <c r="F527" s="17">
        <v>490</v>
      </c>
      <c r="G527" s="4" t="s">
        <v>17</v>
      </c>
      <c r="H527" s="4" t="s">
        <v>11</v>
      </c>
    </row>
    <row r="528" spans="1:8" x14ac:dyDescent="0.2">
      <c r="A528" s="4" t="str">
        <f>"06.115/004/2025"</f>
        <v>06.115/004/2025</v>
      </c>
      <c r="B528" s="4" t="str">
        <f>"Effektives Zeit- und Selbstmanagement"</f>
        <v>Effektives Zeit- und Selbstmanagement</v>
      </c>
      <c r="C528" s="5">
        <v>45985</v>
      </c>
      <c r="D528" s="5">
        <v>45986</v>
      </c>
      <c r="E528" s="4" t="str">
        <f t="shared" si="22"/>
        <v>2 Tage</v>
      </c>
      <c r="F528" s="17">
        <v>490</v>
      </c>
      <c r="G528" s="4" t="s">
        <v>17</v>
      </c>
      <c r="H528" s="4" t="s">
        <v>11</v>
      </c>
    </row>
    <row r="529" spans="1:8" x14ac:dyDescent="0.2">
      <c r="A529" s="4" t="str">
        <f>"06.120/001/2025"</f>
        <v>06.120/001/2025</v>
      </c>
      <c r="B529" s="4" t="str">
        <f>"Zeitmanagement und Telearbeit - wie passt das zusammen?"</f>
        <v>Zeitmanagement und Telearbeit - wie passt das zusammen?</v>
      </c>
      <c r="C529" s="5">
        <v>45748</v>
      </c>
      <c r="D529" s="5">
        <v>45749</v>
      </c>
      <c r="E529" s="4" t="str">
        <f t="shared" si="22"/>
        <v>2 Tage</v>
      </c>
      <c r="F529" s="17">
        <v>490</v>
      </c>
      <c r="G529" s="4" t="s">
        <v>17</v>
      </c>
      <c r="H529" s="4" t="s">
        <v>11</v>
      </c>
    </row>
    <row r="530" spans="1:8" x14ac:dyDescent="0.2">
      <c r="A530" s="4" t="str">
        <f>"06.125/001/2025"</f>
        <v>06.125/001/2025</v>
      </c>
      <c r="B530" s="4" t="str">
        <f>"Polychrones Zeitmanagement"</f>
        <v>Polychrones Zeitmanagement</v>
      </c>
      <c r="C530" s="5">
        <v>45853</v>
      </c>
      <c r="D530" s="5">
        <v>45854</v>
      </c>
      <c r="E530" s="4" t="str">
        <f t="shared" si="22"/>
        <v>2 Tage</v>
      </c>
      <c r="F530" s="17">
        <v>490</v>
      </c>
      <c r="G530" s="4" t="s">
        <v>17</v>
      </c>
      <c r="H530" s="4" t="s">
        <v>11</v>
      </c>
    </row>
    <row r="531" spans="1:8" x14ac:dyDescent="0.2">
      <c r="A531" s="4" t="str">
        <f>"06.127/001/2025"</f>
        <v>06.127/001/2025</v>
      </c>
      <c r="B531" s="4" t="str">
        <f>"Effektive Einarbeitung - erfolgreiche und zufriedenere Mitarbeitende"</f>
        <v>Effektive Einarbeitung - erfolgreiche und zufriedenere Mitarbeitende</v>
      </c>
      <c r="C531" s="5">
        <v>45782</v>
      </c>
      <c r="D531" s="5">
        <v>45783</v>
      </c>
      <c r="E531" s="4" t="str">
        <f t="shared" si="22"/>
        <v>2 Tage</v>
      </c>
      <c r="F531" s="17">
        <v>490</v>
      </c>
      <c r="G531" s="4" t="s">
        <v>17</v>
      </c>
      <c r="H531" s="4" t="s">
        <v>11</v>
      </c>
    </row>
    <row r="532" spans="1:8" x14ac:dyDescent="0.2">
      <c r="A532" s="4" t="str">
        <f>"06.135/001/2025"</f>
        <v>06.135/001/2025</v>
      </c>
      <c r="B532" s="4" t="str">
        <f>"Professionelle Korrespondenz mit E-Mail und Brief: Zeitgemäß - stilsicher - empfängerorientiert   "</f>
        <v xml:space="preserve">Professionelle Korrespondenz mit E-Mail und Brief: Zeitgemäß - stilsicher - empfängerorientiert   </v>
      </c>
      <c r="C532" s="5">
        <v>45664</v>
      </c>
      <c r="D532" s="5">
        <v>45664</v>
      </c>
      <c r="E532" s="4" t="str">
        <f>"1 Tag"</f>
        <v>1 Tag</v>
      </c>
      <c r="F532" s="17">
        <v>190</v>
      </c>
      <c r="G532" s="4" t="s">
        <v>17</v>
      </c>
      <c r="H532" s="4" t="s">
        <v>11</v>
      </c>
    </row>
    <row r="533" spans="1:8" x14ac:dyDescent="0.2">
      <c r="A533" s="4" t="str">
        <f>"06.140/001/2025"</f>
        <v>06.140/001/2025</v>
      </c>
      <c r="B533" s="4" t="str">
        <f>"Selbst- und Zeitmanagement am Mischarbeitsplatz"</f>
        <v>Selbst- und Zeitmanagement am Mischarbeitsplatz</v>
      </c>
      <c r="C533" s="5">
        <v>45761</v>
      </c>
      <c r="D533" s="5">
        <v>45762</v>
      </c>
      <c r="E533" s="4" t="str">
        <f>"2 Tage"</f>
        <v>2 Tage</v>
      </c>
      <c r="F533" s="17">
        <v>490</v>
      </c>
      <c r="G533" s="4" t="s">
        <v>17</v>
      </c>
      <c r="H533" s="4" t="s">
        <v>11</v>
      </c>
    </row>
    <row r="534" spans="1:8" x14ac:dyDescent="0.2">
      <c r="A534" s="4" t="str">
        <f>"06.145/001/2025"</f>
        <v>06.145/001/2025</v>
      </c>
      <c r="B534" s="4" t="str">
        <f>"Sekretariatsmanagement"</f>
        <v>Sekretariatsmanagement</v>
      </c>
      <c r="C534" s="5">
        <v>45838</v>
      </c>
      <c r="D534" s="5">
        <v>45840</v>
      </c>
      <c r="E534" s="4" t="str">
        <f>"3 Tage"</f>
        <v>3 Tage</v>
      </c>
      <c r="F534" s="17">
        <v>760</v>
      </c>
      <c r="G534" s="4" t="s">
        <v>14</v>
      </c>
      <c r="H534" s="4" t="s">
        <v>11</v>
      </c>
    </row>
    <row r="535" spans="1:8" x14ac:dyDescent="0.2">
      <c r="A535" s="4" t="str">
        <f>"06.150/001/2025"</f>
        <v>06.150/001/2025</v>
      </c>
      <c r="B535" s="4" t="str">
        <f>"Werkstatt-  Innovative digitale Tools im Sekretariat - Möglichkeiten und Grenzen von KI"</f>
        <v>Werkstatt-  Innovative digitale Tools im Sekretariat - Möglichkeiten und Grenzen von KI</v>
      </c>
      <c r="C535" s="5">
        <v>45915</v>
      </c>
      <c r="D535" s="5">
        <v>45961</v>
      </c>
      <c r="E535" s="4" t="str">
        <f>"2x1 Tag"</f>
        <v>2x1 Tag</v>
      </c>
      <c r="F535" s="17">
        <v>440</v>
      </c>
      <c r="G535" s="4"/>
      <c r="H535" s="4" t="s">
        <v>11</v>
      </c>
    </row>
    <row r="536" spans="1:8" x14ac:dyDescent="0.2">
      <c r="A536" s="4" t="str">
        <f>"06.150/001 a/2025"</f>
        <v>06.150/001 a/2025</v>
      </c>
      <c r="B536" s="4" t="str">
        <f>"Werkstatt: Assistenz 4.0 - von der Sekretärin zur New-Work-Assistenz"</f>
        <v>Werkstatt: Assistenz 4.0 - von der Sekretärin zur New-Work-Assistenz</v>
      </c>
      <c r="C536" s="5">
        <v>45915</v>
      </c>
      <c r="D536" s="5">
        <v>45915</v>
      </c>
      <c r="E536" s="4"/>
      <c r="F536" s="17"/>
      <c r="G536" s="4" t="s">
        <v>17</v>
      </c>
      <c r="H536" s="4" t="s">
        <v>11</v>
      </c>
    </row>
    <row r="537" spans="1:8" x14ac:dyDescent="0.2">
      <c r="A537" s="4" t="str">
        <f>"06.150/001 b/2025"</f>
        <v>06.150/001 b/2025</v>
      </c>
      <c r="B537" s="4" t="str">
        <f>"Werkstatt: Assistenz 4.0 - von der Sekretärin zur New-Work-Assistenz"</f>
        <v>Werkstatt: Assistenz 4.0 - von der Sekretärin zur New-Work-Assistenz</v>
      </c>
      <c r="C537" s="5">
        <v>45961</v>
      </c>
      <c r="D537" s="5">
        <v>45961</v>
      </c>
      <c r="E537" s="4"/>
      <c r="F537" s="17"/>
      <c r="G537" s="4" t="s">
        <v>17</v>
      </c>
      <c r="H537" s="4" t="s">
        <v>11</v>
      </c>
    </row>
    <row r="538" spans="1:8" x14ac:dyDescent="0.2">
      <c r="A538" s="4" t="str">
        <f>"06.155/001/2025"</f>
        <v>06.155/001/2025</v>
      </c>
      <c r="B538" s="4" t="str">
        <f>"Kreativitätstechniken"</f>
        <v>Kreativitätstechniken</v>
      </c>
      <c r="C538" s="5">
        <v>45743</v>
      </c>
      <c r="D538" s="5">
        <v>45744</v>
      </c>
      <c r="E538" s="4" t="str">
        <f>"2 Tage"</f>
        <v>2 Tage</v>
      </c>
      <c r="F538" s="17">
        <v>490</v>
      </c>
      <c r="G538" s="4" t="s">
        <v>17</v>
      </c>
      <c r="H538" s="4" t="s">
        <v>11</v>
      </c>
    </row>
    <row r="539" spans="1:8" x14ac:dyDescent="0.2">
      <c r="A539" s="4" t="str">
        <f>"06.165/001/2025"</f>
        <v>06.165/001/2025</v>
      </c>
      <c r="B539" s="4" t="str">
        <f>"MINDMAPPING -  Struktur und Übersicht durch Visualisierung"</f>
        <v>MINDMAPPING -  Struktur und Übersicht durch Visualisierung</v>
      </c>
      <c r="C539" s="5">
        <v>45769</v>
      </c>
      <c r="D539" s="5">
        <v>45769</v>
      </c>
      <c r="E539" s="4" t="str">
        <f>"1 Tag"</f>
        <v>1 Tag</v>
      </c>
      <c r="F539" s="17">
        <v>220</v>
      </c>
      <c r="G539" s="4" t="s">
        <v>17</v>
      </c>
      <c r="H539" s="4" t="s">
        <v>11</v>
      </c>
    </row>
    <row r="540" spans="1:8" x14ac:dyDescent="0.2">
      <c r="A540" s="4" t="str">
        <f>"06.210/001/2025"</f>
        <v>06.210/001/2025</v>
      </c>
      <c r="B540" s="4" t="str">
        <f>"Wirkungsvoll auftreten -  und gewinnend vortragen: Präsenztraining für Führungskräfte"</f>
        <v>Wirkungsvoll auftreten -  und gewinnend vortragen: Präsenztraining für Führungskräfte</v>
      </c>
      <c r="C540" s="5">
        <v>45698</v>
      </c>
      <c r="D540" s="5">
        <v>45699</v>
      </c>
      <c r="E540" s="4" t="str">
        <f>"2 Tage"</f>
        <v>2 Tage</v>
      </c>
      <c r="F540" s="17">
        <v>490</v>
      </c>
      <c r="G540" s="4" t="s">
        <v>17</v>
      </c>
      <c r="H540" s="4" t="s">
        <v>11</v>
      </c>
    </row>
    <row r="541" spans="1:8" x14ac:dyDescent="0.2">
      <c r="A541" s="4" t="str">
        <f>"06.210/002/2025"</f>
        <v>06.210/002/2025</v>
      </c>
      <c r="B541" s="4" t="str">
        <f>"Wirkungsvoll auftreten -  und gewinnend vortragen: Präsenztraining für Führungskräfte"</f>
        <v>Wirkungsvoll auftreten -  und gewinnend vortragen: Präsenztraining für Führungskräfte</v>
      </c>
      <c r="C541" s="5">
        <v>45904</v>
      </c>
      <c r="D541" s="5">
        <v>45905</v>
      </c>
      <c r="E541" s="4" t="str">
        <f>"2 Tage"</f>
        <v>2 Tage</v>
      </c>
      <c r="F541" s="17">
        <v>490</v>
      </c>
      <c r="G541" s="4" t="s">
        <v>17</v>
      </c>
      <c r="H541" s="4" t="s">
        <v>11</v>
      </c>
    </row>
    <row r="542" spans="1:8" x14ac:dyDescent="0.2">
      <c r="A542" s="4" t="str">
        <f>"06.220/001/2025"</f>
        <v>06.220/001/2025</v>
      </c>
      <c r="B542" s="4" t="str">
        <f>"Sicher präsentieren - überzeugend vortragen"</f>
        <v>Sicher präsentieren - überzeugend vortragen</v>
      </c>
      <c r="C542" s="5">
        <v>45999</v>
      </c>
      <c r="D542" s="5">
        <v>46000</v>
      </c>
      <c r="E542" s="4" t="str">
        <f>"2 Tage"</f>
        <v>2 Tage</v>
      </c>
      <c r="F542" s="17">
        <v>490</v>
      </c>
      <c r="G542" s="4" t="s">
        <v>17</v>
      </c>
      <c r="H542" s="4" t="s">
        <v>11</v>
      </c>
    </row>
    <row r="543" spans="1:8" x14ac:dyDescent="0.2">
      <c r="A543" s="4" t="str">
        <f>"06.230/001/2025"</f>
        <v>06.230/001/2025</v>
      </c>
      <c r="B543" s="4" t="str">
        <f>"Workshop: Kreative Vorträge und Präsentationen - überraschen, unterhalten, in Bildern besser reden"</f>
        <v>Workshop: Kreative Vorträge und Präsentationen - überraschen, unterhalten, in Bildern besser reden</v>
      </c>
      <c r="C543" s="5">
        <v>45848</v>
      </c>
      <c r="D543" s="5">
        <v>45923</v>
      </c>
      <c r="E543" s="4" t="str">
        <f>"2x2 Tage"</f>
        <v>2x2 Tage</v>
      </c>
      <c r="F543" s="17">
        <v>990</v>
      </c>
      <c r="G543" s="4"/>
      <c r="H543" s="4" t="s">
        <v>11</v>
      </c>
    </row>
    <row r="544" spans="1:8" x14ac:dyDescent="0.2">
      <c r="A544" s="4" t="str">
        <f>"06.230/001 a/2025"</f>
        <v>06.230/001 a/2025</v>
      </c>
      <c r="B544" s="4" t="str">
        <f>"Workshop: Kreative Vorträge und Präsentationen - überraschen, unterhalten, in Bildern besser reden"</f>
        <v>Workshop: Kreative Vorträge und Präsentationen - überraschen, unterhalten, in Bildern besser reden</v>
      </c>
      <c r="C544" s="5">
        <v>45848</v>
      </c>
      <c r="D544" s="5">
        <v>45849</v>
      </c>
      <c r="E544" s="4"/>
      <c r="F544" s="17"/>
      <c r="G544" s="4" t="s">
        <v>17</v>
      </c>
      <c r="H544" s="4" t="s">
        <v>11</v>
      </c>
    </row>
    <row r="545" spans="1:8" x14ac:dyDescent="0.2">
      <c r="A545" s="4" t="str">
        <f>"06.230/001 b/2025"</f>
        <v>06.230/001 b/2025</v>
      </c>
      <c r="B545" s="4" t="str">
        <f>"Workshop: Kreative Vorträge und Präsentationen - überraschen, unterhalten, in Bildern besser reden"</f>
        <v>Workshop: Kreative Vorträge und Präsentationen - überraschen, unterhalten, in Bildern besser reden</v>
      </c>
      <c r="C545" s="5">
        <v>45922</v>
      </c>
      <c r="D545" s="5">
        <v>45923</v>
      </c>
      <c r="E545" s="4"/>
      <c r="F545" s="17"/>
      <c r="G545" s="4" t="s">
        <v>17</v>
      </c>
      <c r="H545" s="4" t="s">
        <v>11</v>
      </c>
    </row>
    <row r="546" spans="1:8" x14ac:dyDescent="0.2">
      <c r="A546" s="4" t="str">
        <f>"06.240/001/2025"</f>
        <v>06.240/001/2025</v>
      </c>
      <c r="B546" s="4" t="str">
        <f>"Präsentationstechnik"</f>
        <v>Präsentationstechnik</v>
      </c>
      <c r="C546" s="5">
        <v>45748</v>
      </c>
      <c r="D546" s="5">
        <v>45749</v>
      </c>
      <c r="E546" s="4" t="str">
        <f>"2 Tage"</f>
        <v>2 Tage</v>
      </c>
      <c r="F546" s="17">
        <v>490</v>
      </c>
      <c r="G546" s="4" t="s">
        <v>17</v>
      </c>
      <c r="H546" s="4" t="s">
        <v>11</v>
      </c>
    </row>
    <row r="547" spans="1:8" x14ac:dyDescent="0.2">
      <c r="A547" s="4" t="str">
        <f>"06.240/002/2025"</f>
        <v>06.240/002/2025</v>
      </c>
      <c r="B547" s="4" t="str">
        <f>"Präsentationstechnik"</f>
        <v>Präsentationstechnik</v>
      </c>
      <c r="C547" s="5">
        <v>45958</v>
      </c>
      <c r="D547" s="5">
        <v>45959</v>
      </c>
      <c r="E547" s="4" t="str">
        <f>"2 Tage"</f>
        <v>2 Tage</v>
      </c>
      <c r="F547" s="17">
        <v>490</v>
      </c>
      <c r="G547" s="4" t="s">
        <v>17</v>
      </c>
      <c r="H547" s="4" t="s">
        <v>11</v>
      </c>
    </row>
    <row r="548" spans="1:8" x14ac:dyDescent="0.2">
      <c r="A548" s="4" t="str">
        <f>"06.250/001/2025"</f>
        <v>06.250/001/2025</v>
      </c>
      <c r="B548" s="4" t="str">
        <f>"Basiskompetenz Moderation"</f>
        <v>Basiskompetenz Moderation</v>
      </c>
      <c r="C548" s="5">
        <v>45775</v>
      </c>
      <c r="D548" s="5">
        <v>45821</v>
      </c>
      <c r="E548" s="4" t="str">
        <f>"2x3 Tage"</f>
        <v>2x3 Tage</v>
      </c>
      <c r="F548" s="17">
        <v>1490</v>
      </c>
      <c r="G548" s="4"/>
      <c r="H548" s="4" t="s">
        <v>11</v>
      </c>
    </row>
    <row r="549" spans="1:8" x14ac:dyDescent="0.2">
      <c r="A549" s="4" t="str">
        <f>"06.250/001 a/2025"</f>
        <v>06.250/001 a/2025</v>
      </c>
      <c r="B549" s="4" t="str">
        <f>"Basiskompetenz Moderation "</f>
        <v xml:space="preserve">Basiskompetenz Moderation </v>
      </c>
      <c r="C549" s="5">
        <v>45775</v>
      </c>
      <c r="D549" s="5">
        <v>45777</v>
      </c>
      <c r="E549" s="4" t="str">
        <f>"2x3 Tage"</f>
        <v>2x3 Tage</v>
      </c>
      <c r="F549" s="17"/>
      <c r="G549" s="4" t="s">
        <v>17</v>
      </c>
      <c r="H549" s="4" t="s">
        <v>11</v>
      </c>
    </row>
    <row r="550" spans="1:8" x14ac:dyDescent="0.2">
      <c r="A550" s="4" t="str">
        <f>"06.250/001 b/2025"</f>
        <v>06.250/001 b/2025</v>
      </c>
      <c r="B550" s="4" t="str">
        <f>"Basiskompetenz Moderation "</f>
        <v xml:space="preserve">Basiskompetenz Moderation </v>
      </c>
      <c r="C550" s="5">
        <v>45819</v>
      </c>
      <c r="D550" s="5">
        <v>45821</v>
      </c>
      <c r="E550" s="4"/>
      <c r="F550" s="17"/>
      <c r="G550" s="4" t="s">
        <v>17</v>
      </c>
      <c r="H550" s="4" t="s">
        <v>11</v>
      </c>
    </row>
    <row r="551" spans="1:8" x14ac:dyDescent="0.2">
      <c r="A551" s="4" t="str">
        <f>"06.250/002/2025"</f>
        <v>06.250/002/2025</v>
      </c>
      <c r="B551" s="4" t="str">
        <f>"Basiskompetenz Moderation"</f>
        <v>Basiskompetenz Moderation</v>
      </c>
      <c r="C551" s="5">
        <v>45894</v>
      </c>
      <c r="D551" s="5">
        <v>45931</v>
      </c>
      <c r="E551" s="4" t="str">
        <f>"2x3 Tage"</f>
        <v>2x3 Tage</v>
      </c>
      <c r="F551" s="17">
        <v>1490</v>
      </c>
      <c r="G551" s="4"/>
      <c r="H551" s="4" t="s">
        <v>11</v>
      </c>
    </row>
    <row r="552" spans="1:8" x14ac:dyDescent="0.2">
      <c r="A552" s="4" t="str">
        <f>"06.250/002 a/2025"</f>
        <v>06.250/002 a/2025</v>
      </c>
      <c r="B552" s="4" t="str">
        <f>"Basiskompetenz Moderation "</f>
        <v xml:space="preserve">Basiskompetenz Moderation </v>
      </c>
      <c r="C552" s="5">
        <v>45894</v>
      </c>
      <c r="D552" s="5">
        <v>45896</v>
      </c>
      <c r="E552" s="4" t="str">
        <f>"2x 3 Tage"</f>
        <v>2x 3 Tage</v>
      </c>
      <c r="F552" s="17"/>
      <c r="G552" s="4" t="s">
        <v>17</v>
      </c>
      <c r="H552" s="4" t="s">
        <v>11</v>
      </c>
    </row>
    <row r="553" spans="1:8" x14ac:dyDescent="0.2">
      <c r="A553" s="4" t="str">
        <f>"06.250/002 b/2025"</f>
        <v>06.250/002 b/2025</v>
      </c>
      <c r="B553" s="4" t="str">
        <f>"Basiskompetenz Moderation "</f>
        <v xml:space="preserve">Basiskompetenz Moderation </v>
      </c>
      <c r="C553" s="5">
        <v>45929</v>
      </c>
      <c r="D553" s="5">
        <v>45931</v>
      </c>
      <c r="E553" s="4"/>
      <c r="F553" s="17"/>
      <c r="G553" s="4" t="s">
        <v>17</v>
      </c>
      <c r="H553" s="4" t="s">
        <v>11</v>
      </c>
    </row>
    <row r="554" spans="1:8" x14ac:dyDescent="0.2">
      <c r="A554" s="4" t="str">
        <f>"06.252/001/2025"</f>
        <v>06.252/001/2025</v>
      </c>
      <c r="B554" s="4" t="str">
        <f>"Moderation Pro- Praktische Vertiefung durch Simulation und Reflexion für erfahrene Moderatorinnen und Moderatoren"</f>
        <v>Moderation Pro- Praktische Vertiefung durch Simulation und Reflexion für erfahrene Moderatorinnen und Moderatoren</v>
      </c>
      <c r="C554" s="5">
        <v>45908</v>
      </c>
      <c r="D554" s="5">
        <v>45909</v>
      </c>
      <c r="E554" s="4" t="s">
        <v>12</v>
      </c>
      <c r="F554" s="17">
        <v>370</v>
      </c>
      <c r="G554" s="4" t="s">
        <v>17</v>
      </c>
      <c r="H554" s="4" t="s">
        <v>22</v>
      </c>
    </row>
    <row r="555" spans="1:8" x14ac:dyDescent="0.2">
      <c r="A555" s="4" t="str">
        <f>"06.255/001/2025"</f>
        <v>06.255/001/2025</v>
      </c>
      <c r="B555" s="4" t="str">
        <f>"Agile Moderationstechniken- ein Werkzeugkasten voll neuer Ideen"</f>
        <v>Agile Moderationstechniken- ein Werkzeugkasten voll neuer Ideen</v>
      </c>
      <c r="C555" s="5">
        <v>45849</v>
      </c>
      <c r="D555" s="5">
        <v>45849</v>
      </c>
      <c r="E555" s="4" t="str">
        <f>"1 Tag"</f>
        <v>1 Tag</v>
      </c>
      <c r="F555" s="17">
        <v>220</v>
      </c>
      <c r="G555" s="4" t="s">
        <v>17</v>
      </c>
      <c r="H555" s="4" t="s">
        <v>11</v>
      </c>
    </row>
    <row r="556" spans="1:8" x14ac:dyDescent="0.2">
      <c r="A556" s="4" t="str">
        <f>"06.260/001/2025"</f>
        <v>06.260/001/2025</v>
      </c>
      <c r="B556" s="4" t="str">
        <f>"Ohne Metaplankarte und Co: Diskussionen zielführend moderieren"</f>
        <v>Ohne Metaplankarte und Co: Diskussionen zielführend moderieren</v>
      </c>
      <c r="C556" s="5">
        <v>45673</v>
      </c>
      <c r="D556" s="5">
        <v>45674</v>
      </c>
      <c r="E556" s="4" t="str">
        <f>"2 Tage"</f>
        <v>2 Tage</v>
      </c>
      <c r="F556" s="17">
        <v>490</v>
      </c>
      <c r="G556" s="4" t="s">
        <v>17</v>
      </c>
      <c r="H556" s="4" t="s">
        <v>11</v>
      </c>
    </row>
    <row r="557" spans="1:8" x14ac:dyDescent="0.2">
      <c r="A557" s="4" t="str">
        <f>"06.260/002/2025"</f>
        <v>06.260/002/2025</v>
      </c>
      <c r="B557" s="4" t="str">
        <f>"Ohne Metaplankarte und Co: Diskussionen zielführend moderieren"</f>
        <v>Ohne Metaplankarte und Co: Diskussionen zielführend moderieren</v>
      </c>
      <c r="C557" s="5">
        <v>45813</v>
      </c>
      <c r="D557" s="5">
        <v>45814</v>
      </c>
      <c r="E557" s="4" t="str">
        <f>"2 Tage"</f>
        <v>2 Tage</v>
      </c>
      <c r="F557" s="17">
        <v>490</v>
      </c>
      <c r="G557" s="4" t="s">
        <v>17</v>
      </c>
      <c r="H557" s="4" t="s">
        <v>11</v>
      </c>
    </row>
    <row r="558" spans="1:8" x14ac:dyDescent="0.2">
      <c r="A558" s="4" t="str">
        <f>"06.315/001/2025"</f>
        <v>06.315/001/2025</v>
      </c>
      <c r="B558" s="4" t="str">
        <f>"Konzepterstellung und Präsentation - von einem leeren Blatt Papier zu einem überzeugenden Konzept"</f>
        <v>Konzepterstellung und Präsentation - von einem leeren Blatt Papier zu einem überzeugenden Konzept</v>
      </c>
      <c r="C558" s="5">
        <v>45845</v>
      </c>
      <c r="D558" s="5">
        <v>45846</v>
      </c>
      <c r="E558" s="4" t="str">
        <f>"2 Tage"</f>
        <v>2 Tage</v>
      </c>
      <c r="F558" s="17">
        <v>490</v>
      </c>
      <c r="G558" s="4" t="s">
        <v>17</v>
      </c>
      <c r="H558" s="4" t="s">
        <v>11</v>
      </c>
    </row>
    <row r="559" spans="1:8" x14ac:dyDescent="0.2">
      <c r="A559" s="4" t="str">
        <f>"06.315/002/2025"</f>
        <v>06.315/002/2025</v>
      </c>
      <c r="B559" s="4" t="str">
        <f>"Konzepterstellung und Präsentation - von einem leeren Blatt Papier zu einem überzeugenden Konzept"</f>
        <v>Konzepterstellung und Präsentation - von einem leeren Blatt Papier zu einem überzeugenden Konzept</v>
      </c>
      <c r="C559" s="5">
        <v>45957</v>
      </c>
      <c r="D559" s="5">
        <v>45958</v>
      </c>
      <c r="E559" s="4" t="str">
        <f>"2 Tage"</f>
        <v>2 Tage</v>
      </c>
      <c r="F559" s="17">
        <v>490</v>
      </c>
      <c r="G559" s="4" t="s">
        <v>17</v>
      </c>
      <c r="H559" s="4" t="s">
        <v>11</v>
      </c>
    </row>
    <row r="560" spans="1:8" x14ac:dyDescent="0.2">
      <c r="A560" s="4" t="str">
        <f>"06.320/001/2025"</f>
        <v>06.320/001/2025</v>
      </c>
      <c r="B560" s="4" t="str">
        <f>"Haben Sie meinen Bericht nicht gelesen? - Konzeptionelle Gestaltung von Berichten und Entscheidungsvorlagen"</f>
        <v>Haben Sie meinen Bericht nicht gelesen? - Konzeptionelle Gestaltung von Berichten und Entscheidungsvorlagen</v>
      </c>
      <c r="C560" s="5">
        <v>45757</v>
      </c>
      <c r="D560" s="5">
        <v>45772</v>
      </c>
      <c r="E560" s="4" t="str">
        <f>"1x2 Tage, 1x1 Tag"</f>
        <v>1x2 Tage, 1x1 Tag</v>
      </c>
      <c r="F560" s="17">
        <v>710</v>
      </c>
      <c r="G560" s="4"/>
      <c r="H560" s="4" t="s">
        <v>11</v>
      </c>
    </row>
    <row r="561" spans="1:8" x14ac:dyDescent="0.2">
      <c r="A561" s="4" t="str">
        <f>"06.320/001 a/2025"</f>
        <v>06.320/001 a/2025</v>
      </c>
      <c r="B561" s="4" t="str">
        <f>"Haben Sie meinen Bericht nicht gelesen? - Konzeptionelle Gestaltung von Berichten und Entscheidungsvorlage"</f>
        <v>Haben Sie meinen Bericht nicht gelesen? - Konzeptionelle Gestaltung von Berichten und Entscheidungsvorlage</v>
      </c>
      <c r="C561" s="5">
        <v>45757</v>
      </c>
      <c r="D561" s="5">
        <v>45758</v>
      </c>
      <c r="E561" s="4"/>
      <c r="F561" s="17"/>
      <c r="G561" s="4" t="s">
        <v>17</v>
      </c>
      <c r="H561" s="4" t="s">
        <v>11</v>
      </c>
    </row>
    <row r="562" spans="1:8" x14ac:dyDescent="0.2">
      <c r="A562" s="4" t="str">
        <f>"06.320/001 b/2025"</f>
        <v>06.320/001 b/2025</v>
      </c>
      <c r="B562" s="4" t="str">
        <f>"Haben Sie meinen Bericht nicht gelesen? - Konzeptionelle Gestaltung von Berichten und Entscheidungsvorlage"</f>
        <v>Haben Sie meinen Bericht nicht gelesen? - Konzeptionelle Gestaltung von Berichten und Entscheidungsvorlage</v>
      </c>
      <c r="C562" s="5">
        <v>45772</v>
      </c>
      <c r="D562" s="5">
        <v>45772</v>
      </c>
      <c r="E562" s="4"/>
      <c r="F562" s="17"/>
      <c r="G562" s="4" t="s">
        <v>17</v>
      </c>
      <c r="H562" s="4" t="s">
        <v>11</v>
      </c>
    </row>
    <row r="563" spans="1:8" x14ac:dyDescent="0.2">
      <c r="A563" s="4" t="str">
        <f>"06.340/001/2025"</f>
        <v>06.340/001/2025</v>
      </c>
      <c r="B563" s="4" t="str">
        <f>"Komplexe Sachverhalte verdichten - prägnante Entscheidungsvorlagen"</f>
        <v>Komplexe Sachverhalte verdichten - prägnante Entscheidungsvorlagen</v>
      </c>
      <c r="C563" s="5">
        <v>45763</v>
      </c>
      <c r="D563" s="5">
        <v>45764</v>
      </c>
      <c r="E563" s="4" t="str">
        <f t="shared" ref="E563:E576" si="23">"2 Tage"</f>
        <v>2 Tage</v>
      </c>
      <c r="F563" s="17">
        <v>490</v>
      </c>
      <c r="G563" s="4" t="s">
        <v>17</v>
      </c>
      <c r="H563" s="4" t="s">
        <v>11</v>
      </c>
    </row>
    <row r="564" spans="1:8" x14ac:dyDescent="0.2">
      <c r="A564" s="4" t="str">
        <f>"06.340/002/2025"</f>
        <v>06.340/002/2025</v>
      </c>
      <c r="B564" s="4" t="str">
        <f>"Komplexe Sachverhalte verdichten -  prägnante Entscheidungsvorlagen"</f>
        <v>Komplexe Sachverhalte verdichten -  prägnante Entscheidungsvorlagen</v>
      </c>
      <c r="C564" s="5">
        <v>45974</v>
      </c>
      <c r="D564" s="5">
        <v>45975</v>
      </c>
      <c r="E564" s="4" t="str">
        <f t="shared" si="23"/>
        <v>2 Tage</v>
      </c>
      <c r="F564" s="17">
        <v>490</v>
      </c>
      <c r="G564" s="4" t="s">
        <v>17</v>
      </c>
      <c r="H564" s="4" t="s">
        <v>11</v>
      </c>
    </row>
    <row r="565" spans="1:8" x14ac:dyDescent="0.2">
      <c r="A565" s="4" t="str">
        <f>"06.350/001/2025"</f>
        <v>06.350/001/2025</v>
      </c>
      <c r="B565" s="4" t="str">
        <f>"Berichte, Protokolle und Vorlagen verständlich schreiben"</f>
        <v>Berichte, Protokolle und Vorlagen verständlich schreiben</v>
      </c>
      <c r="C565" s="5">
        <v>45750</v>
      </c>
      <c r="D565" s="5">
        <v>45751</v>
      </c>
      <c r="E565" s="4" t="str">
        <f t="shared" si="23"/>
        <v>2 Tage</v>
      </c>
      <c r="F565" s="17">
        <v>490</v>
      </c>
      <c r="G565" s="4" t="s">
        <v>17</v>
      </c>
      <c r="H565" s="4" t="s">
        <v>11</v>
      </c>
    </row>
    <row r="566" spans="1:8" x14ac:dyDescent="0.2">
      <c r="A566" s="4" t="str">
        <f>"06.350/002/2025"</f>
        <v>06.350/002/2025</v>
      </c>
      <c r="B566" s="4" t="str">
        <f>"Berichte, Protokolle und Vorlagen verständlich schreiben"</f>
        <v>Berichte, Protokolle und Vorlagen verständlich schreiben</v>
      </c>
      <c r="C566" s="5">
        <v>45943</v>
      </c>
      <c r="D566" s="5">
        <v>45944</v>
      </c>
      <c r="E566" s="4" t="str">
        <f t="shared" si="23"/>
        <v>2 Tage</v>
      </c>
      <c r="F566" s="17">
        <v>490</v>
      </c>
      <c r="G566" s="4" t="s">
        <v>17</v>
      </c>
      <c r="H566" s="4" t="s">
        <v>11</v>
      </c>
    </row>
    <row r="567" spans="1:8" x14ac:dyDescent="0.2">
      <c r="A567" s="4" t="str">
        <f>"06.350/003/2025"</f>
        <v>06.350/003/2025</v>
      </c>
      <c r="B567" s="4" t="str">
        <f>"Berichte, Protokolle und Vorlagen verständlich schreiben"</f>
        <v>Berichte, Protokolle und Vorlagen verständlich schreiben</v>
      </c>
      <c r="C567" s="5">
        <v>46007</v>
      </c>
      <c r="D567" s="5">
        <v>46008</v>
      </c>
      <c r="E567" s="4" t="str">
        <f t="shared" si="23"/>
        <v>2 Tage</v>
      </c>
      <c r="F567" s="17">
        <v>490</v>
      </c>
      <c r="G567" s="4" t="s">
        <v>17</v>
      </c>
      <c r="H567" s="4" t="s">
        <v>11</v>
      </c>
    </row>
    <row r="568" spans="1:8" x14ac:dyDescent="0.2">
      <c r="A568" s="4" t="str">
        <f>"06.410/001/2025"</f>
        <v>06.410/001/2025</v>
      </c>
      <c r="B568" s="4" t="str">
        <f>"Gedächtnistraining: Leichter merken, schneller speichern, länger behalten"</f>
        <v>Gedächtnistraining: Leichter merken, schneller speichern, länger behalten</v>
      </c>
      <c r="C568" s="5">
        <v>45715</v>
      </c>
      <c r="D568" s="5">
        <v>45716</v>
      </c>
      <c r="E568" s="4" t="str">
        <f t="shared" si="23"/>
        <v>2 Tage</v>
      </c>
      <c r="F568" s="17">
        <v>490</v>
      </c>
      <c r="G568" s="4" t="s">
        <v>17</v>
      </c>
      <c r="H568" s="4" t="s">
        <v>11</v>
      </c>
    </row>
    <row r="569" spans="1:8" x14ac:dyDescent="0.2">
      <c r="A569" s="4" t="str">
        <f>"06.410/002/2025"</f>
        <v>06.410/002/2025</v>
      </c>
      <c r="B569" s="4" t="str">
        <f>"Gedächtnistraining: Leichter merken, schneller speichern, länger behalten"</f>
        <v>Gedächtnistraining: Leichter merken, schneller speichern, länger behalten</v>
      </c>
      <c r="C569" s="5">
        <v>45771</v>
      </c>
      <c r="D569" s="5">
        <v>45772</v>
      </c>
      <c r="E569" s="4" t="str">
        <f t="shared" si="23"/>
        <v>2 Tage</v>
      </c>
      <c r="F569" s="17">
        <v>490</v>
      </c>
      <c r="G569" s="4" t="s">
        <v>17</v>
      </c>
      <c r="H569" s="4" t="s">
        <v>11</v>
      </c>
    </row>
    <row r="570" spans="1:8" x14ac:dyDescent="0.2">
      <c r="A570" s="4" t="str">
        <f>"06.410/003/2025"</f>
        <v>06.410/003/2025</v>
      </c>
      <c r="B570" s="4" t="str">
        <f>"Gedächtnistraining: Leichter merken, schneller speichern, länger behalten"</f>
        <v>Gedächtnistraining: Leichter merken, schneller speichern, länger behalten</v>
      </c>
      <c r="C570" s="5">
        <v>45904</v>
      </c>
      <c r="D570" s="5">
        <v>45905</v>
      </c>
      <c r="E570" s="4" t="str">
        <f t="shared" si="23"/>
        <v>2 Tage</v>
      </c>
      <c r="F570" s="17">
        <v>490</v>
      </c>
      <c r="G570" s="4" t="s">
        <v>17</v>
      </c>
      <c r="H570" s="4" t="s">
        <v>11</v>
      </c>
    </row>
    <row r="571" spans="1:8" x14ac:dyDescent="0.2">
      <c r="A571" s="4" t="str">
        <f>"06.420/001/2025"</f>
        <v>06.420/001/2025</v>
      </c>
      <c r="B571" s="4" t="str">
        <f>"Basis-Seminar Lerntechniken: Fitness im Kopf"</f>
        <v>Basis-Seminar Lerntechniken: Fitness im Kopf</v>
      </c>
      <c r="C571" s="5">
        <v>45763</v>
      </c>
      <c r="D571" s="5">
        <v>45764</v>
      </c>
      <c r="E571" s="4" t="str">
        <f t="shared" si="23"/>
        <v>2 Tage</v>
      </c>
      <c r="F571" s="17">
        <v>490</v>
      </c>
      <c r="G571" s="4" t="s">
        <v>17</v>
      </c>
      <c r="H571" s="4" t="s">
        <v>11</v>
      </c>
    </row>
    <row r="572" spans="1:8" x14ac:dyDescent="0.2">
      <c r="A572" s="4" t="str">
        <f>"06.420/002/2025"</f>
        <v>06.420/002/2025</v>
      </c>
      <c r="B572" s="4" t="str">
        <f>"Basis-Seminar Lerntechniken: Fitness im Kopf"</f>
        <v>Basis-Seminar Lerntechniken: Fitness im Kopf</v>
      </c>
      <c r="C572" s="5">
        <v>45908</v>
      </c>
      <c r="D572" s="5">
        <v>45909</v>
      </c>
      <c r="E572" s="4" t="str">
        <f t="shared" si="23"/>
        <v>2 Tage</v>
      </c>
      <c r="F572" s="17">
        <v>490</v>
      </c>
      <c r="G572" s="4" t="s">
        <v>17</v>
      </c>
      <c r="H572" s="4" t="s">
        <v>11</v>
      </c>
    </row>
    <row r="573" spans="1:8" x14ac:dyDescent="0.2">
      <c r="A573" s="4" t="str">
        <f>"06.420/003/2025"</f>
        <v>06.420/003/2025</v>
      </c>
      <c r="B573" s="4" t="str">
        <f>"Basis-Seminar Lerntechniken: Fitness im Kopf"</f>
        <v>Basis-Seminar Lerntechniken: Fitness im Kopf</v>
      </c>
      <c r="C573" s="5">
        <v>45988</v>
      </c>
      <c r="D573" s="5">
        <v>45989</v>
      </c>
      <c r="E573" s="4" t="str">
        <f t="shared" si="23"/>
        <v>2 Tage</v>
      </c>
      <c r="F573" s="17">
        <v>490</v>
      </c>
      <c r="G573" s="4" t="s">
        <v>17</v>
      </c>
      <c r="H573" s="4" t="s">
        <v>11</v>
      </c>
    </row>
    <row r="574" spans="1:8" x14ac:dyDescent="0.2">
      <c r="A574" s="4" t="str">
        <f>"06.430/001/2025"</f>
        <v>06.430/001/2025</v>
      </c>
      <c r="B574" s="4" t="str">
        <f>"Lesetraining - schneller durch den Textdschungel"</f>
        <v>Lesetraining - schneller durch den Textdschungel</v>
      </c>
      <c r="C574" s="5">
        <v>45769</v>
      </c>
      <c r="D574" s="5">
        <v>45770</v>
      </c>
      <c r="E574" s="4" t="str">
        <f t="shared" si="23"/>
        <v>2 Tage</v>
      </c>
      <c r="F574" s="17">
        <v>490</v>
      </c>
      <c r="G574" s="4" t="s">
        <v>17</v>
      </c>
      <c r="H574" s="4" t="s">
        <v>11</v>
      </c>
    </row>
    <row r="575" spans="1:8" x14ac:dyDescent="0.2">
      <c r="A575" s="4" t="str">
        <f>"06.430/002/2025"</f>
        <v>06.430/002/2025</v>
      </c>
      <c r="B575" s="4" t="str">
        <f>"Lesetraining - schneller durch den Textdschungel"</f>
        <v>Lesetraining - schneller durch den Textdschungel</v>
      </c>
      <c r="C575" s="5">
        <v>45993</v>
      </c>
      <c r="D575" s="5">
        <v>45994</v>
      </c>
      <c r="E575" s="4" t="str">
        <f t="shared" si="23"/>
        <v>2 Tage</v>
      </c>
      <c r="F575" s="17">
        <v>490</v>
      </c>
      <c r="G575" s="4" t="s">
        <v>17</v>
      </c>
      <c r="H575" s="4" t="s">
        <v>11</v>
      </c>
    </row>
    <row r="576" spans="1:8" x14ac:dyDescent="0.2">
      <c r="A576" s="4" t="str">
        <f>"06.450/001/2025"</f>
        <v>06.450/001/2025</v>
      </c>
      <c r="B576" s="4" t="str">
        <f>"Mentale Fitness - Wissen gezielt abrufen"</f>
        <v>Mentale Fitness - Wissen gezielt abrufen</v>
      </c>
      <c r="C576" s="5">
        <v>45958</v>
      </c>
      <c r="D576" s="5">
        <v>45959</v>
      </c>
      <c r="E576" s="4" t="str">
        <f t="shared" si="23"/>
        <v>2 Tage</v>
      </c>
      <c r="F576" s="17">
        <v>490</v>
      </c>
      <c r="G576" s="4" t="s">
        <v>17</v>
      </c>
      <c r="H576" s="4" t="s">
        <v>11</v>
      </c>
    </row>
    <row r="577" spans="1:8" x14ac:dyDescent="0.2">
      <c r="A577" s="4" t="str">
        <f>"06.455/002/2025"</f>
        <v>06.455/002/2025</v>
      </c>
      <c r="B577" s="4" t="str">
        <f>"Sketch Noting: Gedankenskizzen durch Visualisierung"</f>
        <v>Sketch Noting: Gedankenskizzen durch Visualisierung</v>
      </c>
      <c r="C577" s="5">
        <v>45912</v>
      </c>
      <c r="D577" s="5">
        <v>45912</v>
      </c>
      <c r="E577" s="4" t="str">
        <f>"1 Tag"</f>
        <v>1 Tag</v>
      </c>
      <c r="F577" s="17">
        <v>220</v>
      </c>
      <c r="G577" s="4" t="s">
        <v>17</v>
      </c>
      <c r="H577" s="4" t="s">
        <v>11</v>
      </c>
    </row>
    <row r="578" spans="1:8" x14ac:dyDescent="0.2">
      <c r="A578" s="4" t="str">
        <f>"06.460/001/2025"</f>
        <v>06.460/001/2025</v>
      </c>
      <c r="B578" s="4" t="str">
        <f>"Erfolg beginnt im Kopf"</f>
        <v>Erfolg beginnt im Kopf</v>
      </c>
      <c r="C578" s="5">
        <v>45680</v>
      </c>
      <c r="D578" s="5">
        <v>45681</v>
      </c>
      <c r="E578" s="4"/>
      <c r="F578" s="17">
        <v>470</v>
      </c>
      <c r="G578" s="4" t="s">
        <v>17</v>
      </c>
      <c r="H578" s="4" t="s">
        <v>11</v>
      </c>
    </row>
    <row r="579" spans="1:8" x14ac:dyDescent="0.2">
      <c r="A579" s="4" t="str">
        <f>"06.560/001/2025"</f>
        <v>06.560/001/2025</v>
      </c>
      <c r="B579" s="4" t="str">
        <f t="shared" ref="B579:B587" si="24">"Ausbilden am Arbeitsplatz"</f>
        <v>Ausbilden am Arbeitsplatz</v>
      </c>
      <c r="C579" s="5">
        <v>45691</v>
      </c>
      <c r="D579" s="5">
        <v>45722</v>
      </c>
      <c r="E579" s="4" t="str">
        <f>"2x2 Tage"</f>
        <v>2x2 Tage</v>
      </c>
      <c r="F579" s="17">
        <v>990</v>
      </c>
      <c r="G579" s="4"/>
      <c r="H579" s="4" t="s">
        <v>11</v>
      </c>
    </row>
    <row r="580" spans="1:8" x14ac:dyDescent="0.2">
      <c r="A580" s="4" t="str">
        <f>"06.560/001 a/2025"</f>
        <v>06.560/001 a/2025</v>
      </c>
      <c r="B580" s="4" t="str">
        <f t="shared" si="24"/>
        <v>Ausbilden am Arbeitsplatz</v>
      </c>
      <c r="C580" s="5">
        <v>45691</v>
      </c>
      <c r="D580" s="5">
        <v>45692</v>
      </c>
      <c r="E580" s="4"/>
      <c r="F580" s="17"/>
      <c r="G580" s="4" t="s">
        <v>17</v>
      </c>
      <c r="H580" s="4" t="s">
        <v>11</v>
      </c>
    </row>
    <row r="581" spans="1:8" x14ac:dyDescent="0.2">
      <c r="A581" s="4" t="str">
        <f>"06.560/001 b/2025"</f>
        <v>06.560/001 b/2025</v>
      </c>
      <c r="B581" s="4" t="str">
        <f t="shared" si="24"/>
        <v>Ausbilden am Arbeitsplatz</v>
      </c>
      <c r="C581" s="5">
        <v>45721</v>
      </c>
      <c r="D581" s="5">
        <v>45722</v>
      </c>
      <c r="E581" s="4"/>
      <c r="F581" s="17"/>
      <c r="G581" s="4" t="s">
        <v>17</v>
      </c>
      <c r="H581" s="4" t="s">
        <v>11</v>
      </c>
    </row>
    <row r="582" spans="1:8" x14ac:dyDescent="0.2">
      <c r="A582" s="4" t="str">
        <f>"06.560/002/2025"</f>
        <v>06.560/002/2025</v>
      </c>
      <c r="B582" s="4" t="str">
        <f t="shared" si="24"/>
        <v>Ausbilden am Arbeitsplatz</v>
      </c>
      <c r="C582" s="5">
        <v>45869</v>
      </c>
      <c r="D582" s="5">
        <v>45961</v>
      </c>
      <c r="E582" s="4" t="str">
        <f>"2x2 Tage"</f>
        <v>2x2 Tage</v>
      </c>
      <c r="F582" s="17">
        <v>990</v>
      </c>
      <c r="G582" s="4"/>
      <c r="H582" s="4" t="s">
        <v>11</v>
      </c>
    </row>
    <row r="583" spans="1:8" x14ac:dyDescent="0.2">
      <c r="A583" s="4" t="str">
        <f>"06.560/002 a/2025"</f>
        <v>06.560/002 a/2025</v>
      </c>
      <c r="B583" s="4" t="str">
        <f t="shared" si="24"/>
        <v>Ausbilden am Arbeitsplatz</v>
      </c>
      <c r="C583" s="5">
        <v>45869</v>
      </c>
      <c r="D583" s="5">
        <v>45870</v>
      </c>
      <c r="E583" s="4"/>
      <c r="F583" s="17"/>
      <c r="G583" s="4" t="s">
        <v>17</v>
      </c>
      <c r="H583" s="4" t="s">
        <v>11</v>
      </c>
    </row>
    <row r="584" spans="1:8" x14ac:dyDescent="0.2">
      <c r="A584" s="4" t="str">
        <f>"06.560/002 b/2025"</f>
        <v>06.560/002 b/2025</v>
      </c>
      <c r="B584" s="4" t="str">
        <f t="shared" si="24"/>
        <v>Ausbilden am Arbeitsplatz</v>
      </c>
      <c r="C584" s="5">
        <v>45960</v>
      </c>
      <c r="D584" s="5">
        <v>45961</v>
      </c>
      <c r="E584" s="4"/>
      <c r="F584" s="17"/>
      <c r="G584" s="4" t="s">
        <v>17</v>
      </c>
      <c r="H584" s="4" t="s">
        <v>11</v>
      </c>
    </row>
    <row r="585" spans="1:8" x14ac:dyDescent="0.2">
      <c r="A585" s="4" t="str">
        <f>"06.560/003/2025"</f>
        <v>06.560/003/2025</v>
      </c>
      <c r="B585" s="4" t="str">
        <f t="shared" si="24"/>
        <v>Ausbilden am Arbeitsplatz</v>
      </c>
      <c r="C585" s="5">
        <v>45946</v>
      </c>
      <c r="D585" s="5">
        <v>45986</v>
      </c>
      <c r="E585" s="4" t="str">
        <f>"2x2 Tage"</f>
        <v>2x2 Tage</v>
      </c>
      <c r="F585" s="17">
        <v>990</v>
      </c>
      <c r="G585" s="4"/>
      <c r="H585" s="4" t="s">
        <v>11</v>
      </c>
    </row>
    <row r="586" spans="1:8" x14ac:dyDescent="0.2">
      <c r="A586" s="4" t="str">
        <f>"06.560/003 a/2025"</f>
        <v>06.560/003 a/2025</v>
      </c>
      <c r="B586" s="4" t="str">
        <f t="shared" si="24"/>
        <v>Ausbilden am Arbeitsplatz</v>
      </c>
      <c r="C586" s="5">
        <v>45946</v>
      </c>
      <c r="D586" s="5">
        <v>45947</v>
      </c>
      <c r="E586" s="4"/>
      <c r="F586" s="17"/>
      <c r="G586" s="4" t="s">
        <v>17</v>
      </c>
      <c r="H586" s="4" t="s">
        <v>11</v>
      </c>
    </row>
    <row r="587" spans="1:8" x14ac:dyDescent="0.2">
      <c r="A587" s="4" t="str">
        <f>"06.560/003 b/2025"</f>
        <v>06.560/003 b/2025</v>
      </c>
      <c r="B587" s="4" t="str">
        <f t="shared" si="24"/>
        <v>Ausbilden am Arbeitsplatz</v>
      </c>
      <c r="C587" s="5">
        <v>45985</v>
      </c>
      <c r="D587" s="5">
        <v>45986</v>
      </c>
      <c r="E587" s="4"/>
      <c r="F587" s="17"/>
      <c r="G587" s="4" t="s">
        <v>17</v>
      </c>
      <c r="H587" s="4" t="s">
        <v>11</v>
      </c>
    </row>
    <row r="588" spans="1:8" x14ac:dyDescent="0.2">
      <c r="A588" s="4" t="str">
        <f>"06.570/001/2025"</f>
        <v>06.570/001/2025</v>
      </c>
      <c r="B588" s="4" t="str">
        <f>"Bachelor-Prüfungen vorbereiten, durchführen und bewerten"</f>
        <v>Bachelor-Prüfungen vorbereiten, durchführen und bewerten</v>
      </c>
      <c r="C588" s="5">
        <v>45677</v>
      </c>
      <c r="D588" s="5">
        <v>45678</v>
      </c>
      <c r="E588" s="4" t="str">
        <f>"2 Tage"</f>
        <v>2 Tage</v>
      </c>
      <c r="F588" s="17">
        <v>490</v>
      </c>
      <c r="G588" s="4" t="s">
        <v>17</v>
      </c>
      <c r="H588" s="4" t="s">
        <v>11</v>
      </c>
    </row>
    <row r="589" spans="1:8" x14ac:dyDescent="0.2">
      <c r="A589" s="4" t="str">
        <f>"06.570/002/2025"</f>
        <v>06.570/002/2025</v>
      </c>
      <c r="B589" s="4" t="str">
        <f>"Bachelor-Prüfungen vorbereiten, durchführen und bewerten"</f>
        <v>Bachelor-Prüfungen vorbereiten, durchführen und bewerten</v>
      </c>
      <c r="C589" s="5">
        <v>45916</v>
      </c>
      <c r="D589" s="5">
        <v>45917</v>
      </c>
      <c r="E589" s="4" t="str">
        <f>"2 Tage"</f>
        <v>2 Tage</v>
      </c>
      <c r="F589" s="17">
        <v>490</v>
      </c>
      <c r="G589" s="4" t="s">
        <v>17</v>
      </c>
      <c r="H589" s="4" t="s">
        <v>11</v>
      </c>
    </row>
    <row r="590" spans="1:8" x14ac:dyDescent="0.2">
      <c r="A590" s="4" t="str">
        <f>"06.570/003/2025"</f>
        <v>06.570/003/2025</v>
      </c>
      <c r="B590" s="4" t="str">
        <f>"Bachelor-Prüfungen vorbereiten, durchführen und bewerten"</f>
        <v>Bachelor-Prüfungen vorbereiten, durchführen und bewerten</v>
      </c>
      <c r="C590" s="5">
        <v>45944</v>
      </c>
      <c r="D590" s="5">
        <v>45945</v>
      </c>
      <c r="E590" s="4" t="str">
        <f>"2 Tage"</f>
        <v>2 Tage</v>
      </c>
      <c r="F590" s="17">
        <v>490</v>
      </c>
      <c r="G590" s="4" t="s">
        <v>17</v>
      </c>
      <c r="H590" s="4" t="s">
        <v>11</v>
      </c>
    </row>
    <row r="591" spans="1:8" x14ac:dyDescent="0.2">
      <c r="A591" s="4" t="str">
        <f>"06.572/001/2025"</f>
        <v>06.572/001/2025</v>
      </c>
      <c r="B591" s="4" t="str">
        <f>"Mündliche und schriftliche Prüfungen kompetent durchführen und beurteilen"</f>
        <v>Mündliche und schriftliche Prüfungen kompetent durchführen und beurteilen</v>
      </c>
      <c r="C591" s="5">
        <v>45859</v>
      </c>
      <c r="D591" s="5">
        <v>45860</v>
      </c>
      <c r="E591" s="4" t="str">
        <f>"2 Tage"</f>
        <v>2 Tage</v>
      </c>
      <c r="F591" s="17">
        <v>490</v>
      </c>
      <c r="G591" s="4" t="s">
        <v>17</v>
      </c>
      <c r="H591" s="4" t="s">
        <v>11</v>
      </c>
    </row>
    <row r="592" spans="1:8" x14ac:dyDescent="0.2">
      <c r="A592" s="4" t="str">
        <f>"06.580/001/2025"</f>
        <v>06.580/001/2025</v>
      </c>
      <c r="B592" s="4" t="str">
        <f>"Prüfungsrecht: Ausbildung für Personalvertretungen,  insbesondere Schwerbehindertenvertretung"</f>
        <v>Prüfungsrecht: Ausbildung für Personalvertretungen,  insbesondere Schwerbehindertenvertretung</v>
      </c>
      <c r="C592" s="5">
        <v>45985</v>
      </c>
      <c r="D592" s="5">
        <v>45985</v>
      </c>
      <c r="E592" s="4" t="str">
        <f>"1 Tag"</f>
        <v>1 Tag</v>
      </c>
      <c r="F592" s="17">
        <v>220</v>
      </c>
      <c r="G592" s="4" t="s">
        <v>14</v>
      </c>
      <c r="H592" s="4" t="s">
        <v>11</v>
      </c>
    </row>
    <row r="593" spans="1:8" x14ac:dyDescent="0.2">
      <c r="A593" s="4" t="str">
        <f>"07.115/001/2025"</f>
        <v>07.115/001/2025</v>
      </c>
      <c r="B593" s="4" t="str">
        <f>"Personalentwicklung - Einführung"</f>
        <v>Personalentwicklung - Einführung</v>
      </c>
      <c r="C593" s="5">
        <v>45698</v>
      </c>
      <c r="D593" s="5">
        <v>45699</v>
      </c>
      <c r="E593" s="4" t="str">
        <f>"2 Tage"</f>
        <v>2 Tage</v>
      </c>
      <c r="F593" s="17">
        <v>490</v>
      </c>
      <c r="G593" s="4" t="s">
        <v>17</v>
      </c>
      <c r="H593" s="4" t="s">
        <v>11</v>
      </c>
    </row>
    <row r="594" spans="1:8" x14ac:dyDescent="0.2">
      <c r="A594" s="4" t="str">
        <f>"07.120/001/2025"</f>
        <v>07.120/001/2025</v>
      </c>
      <c r="B594" s="4" t="str">
        <f>"Personalentwicklungskonzepte (weiter) entwickeln"</f>
        <v>Personalentwicklungskonzepte (weiter) entwickeln</v>
      </c>
      <c r="C594" s="5">
        <v>45978</v>
      </c>
      <c r="D594" s="5">
        <v>45978</v>
      </c>
      <c r="E594" s="4" t="str">
        <f>"1 Tag"</f>
        <v>1 Tag</v>
      </c>
      <c r="F594" s="17">
        <v>220</v>
      </c>
      <c r="G594" s="4" t="s">
        <v>17</v>
      </c>
      <c r="H594" s="4" t="s">
        <v>11</v>
      </c>
    </row>
    <row r="595" spans="1:8" x14ac:dyDescent="0.2">
      <c r="A595" s="4" t="str">
        <f>"07.130/001/2025"</f>
        <v>07.130/001/2025</v>
      </c>
      <c r="B595" s="4" t="str">
        <f>"Personalmarketing und Employer Branding im öffentlichen Dienst"</f>
        <v>Personalmarketing und Employer Branding im öffentlichen Dienst</v>
      </c>
      <c r="C595" s="5">
        <v>45838</v>
      </c>
      <c r="D595" s="5">
        <v>45839</v>
      </c>
      <c r="E595" s="4" t="str">
        <f>"2 Tage"</f>
        <v>2 Tage</v>
      </c>
      <c r="F595" s="17">
        <v>490</v>
      </c>
      <c r="G595" s="4" t="s">
        <v>14</v>
      </c>
      <c r="H595" s="4" t="s">
        <v>11</v>
      </c>
    </row>
    <row r="596" spans="1:8" x14ac:dyDescent="0.2">
      <c r="A596" s="4" t="str">
        <f>"07.132/001/2025"</f>
        <v>07.132/001/2025</v>
      </c>
      <c r="B596" s="4" t="str">
        <f>"Neue Generationen - Neues Personalmanagement"</f>
        <v>Neue Generationen - Neues Personalmanagement</v>
      </c>
      <c r="C596" s="5">
        <v>45852</v>
      </c>
      <c r="D596" s="5">
        <v>45853</v>
      </c>
      <c r="E596" s="4" t="s">
        <v>12</v>
      </c>
      <c r="F596" s="17">
        <v>490</v>
      </c>
      <c r="G596" s="4" t="s">
        <v>14</v>
      </c>
      <c r="H596" s="4" t="s">
        <v>11</v>
      </c>
    </row>
    <row r="597" spans="1:8" x14ac:dyDescent="0.2">
      <c r="A597" s="4" t="str">
        <f>"07.145/001/2025"</f>
        <v>07.145/001/2025</v>
      </c>
      <c r="B597" s="4" t="str">
        <f>"Mitarbeiterbindung - Gute Mitarbeiter halten und motivieren"</f>
        <v>Mitarbeiterbindung - Gute Mitarbeiter halten und motivieren</v>
      </c>
      <c r="C597" s="5">
        <v>45960</v>
      </c>
      <c r="D597" s="5">
        <v>45961</v>
      </c>
      <c r="E597" s="4" t="str">
        <f>"2 Tage"</f>
        <v>2 Tage</v>
      </c>
      <c r="F597" s="17">
        <v>490</v>
      </c>
      <c r="G597" s="4" t="s">
        <v>17</v>
      </c>
      <c r="H597" s="4" t="s">
        <v>11</v>
      </c>
    </row>
    <row r="598" spans="1:8" x14ac:dyDescent="0.2">
      <c r="A598" s="4" t="str">
        <f>"07.150/001/2025"</f>
        <v>07.150/001/2025</v>
      </c>
      <c r="B598" s="4" t="str">
        <f>"Fortbildung als zentrales Element strategischer Personalentwicklung"</f>
        <v>Fortbildung als zentrales Element strategischer Personalentwicklung</v>
      </c>
      <c r="C598" s="5">
        <v>45911</v>
      </c>
      <c r="D598" s="5">
        <v>45912</v>
      </c>
      <c r="E598" s="4" t="str">
        <f>"2 Tage"</f>
        <v>2 Tage</v>
      </c>
      <c r="F598" s="17">
        <v>490</v>
      </c>
      <c r="G598" s="4" t="s">
        <v>14</v>
      </c>
      <c r="H598" s="4" t="s">
        <v>11</v>
      </c>
    </row>
    <row r="599" spans="1:8" x14ac:dyDescent="0.2">
      <c r="A599" s="4" t="str">
        <f>"07.165/001/2025"</f>
        <v>07.165/001/2025</v>
      </c>
      <c r="B599" s="4" t="str">
        <f>"Talent- und Nachfolgemanagement"</f>
        <v>Talent- und Nachfolgemanagement</v>
      </c>
      <c r="C599" s="5">
        <v>45796</v>
      </c>
      <c r="D599" s="5">
        <v>45797</v>
      </c>
      <c r="E599" s="4" t="str">
        <f>"2 Tage"</f>
        <v>2 Tage</v>
      </c>
      <c r="F599" s="17">
        <v>490</v>
      </c>
      <c r="G599" s="4" t="s">
        <v>17</v>
      </c>
      <c r="H599" s="4" t="s">
        <v>11</v>
      </c>
    </row>
    <row r="600" spans="1:8" x14ac:dyDescent="0.2">
      <c r="A600" s="4" t="str">
        <f>"07.170/001/2025"</f>
        <v>07.170/001/2025</v>
      </c>
      <c r="B600" s="4" t="str">
        <f>"Recruiting - Trends auf die eigene Praxis übertragen"</f>
        <v>Recruiting - Trends auf die eigene Praxis übertragen</v>
      </c>
      <c r="C600" s="5">
        <v>45792</v>
      </c>
      <c r="D600" s="5">
        <v>45793</v>
      </c>
      <c r="E600" s="4" t="str">
        <f>"2 Tage"</f>
        <v>2 Tage</v>
      </c>
      <c r="F600" s="17">
        <v>490</v>
      </c>
      <c r="G600" s="4" t="s">
        <v>14</v>
      </c>
      <c r="H600" s="4" t="s">
        <v>11</v>
      </c>
    </row>
    <row r="601" spans="1:8" x14ac:dyDescent="0.2">
      <c r="A601" s="4" t="str">
        <f>"07.170/002/2025"</f>
        <v>07.170/002/2025</v>
      </c>
      <c r="B601" s="4" t="str">
        <f>"Recruiting - Trends auf die eigene Praxis übertragen"</f>
        <v>Recruiting - Trends auf die eigene Praxis übertragen</v>
      </c>
      <c r="C601" s="5">
        <v>45971</v>
      </c>
      <c r="D601" s="5">
        <v>45972</v>
      </c>
      <c r="E601" s="4" t="str">
        <f>"2 Tage"</f>
        <v>2 Tage</v>
      </c>
      <c r="F601" s="17">
        <v>490</v>
      </c>
      <c r="G601" s="4" t="s">
        <v>14</v>
      </c>
      <c r="H601" s="4" t="s">
        <v>11</v>
      </c>
    </row>
    <row r="602" spans="1:8" x14ac:dyDescent="0.2">
      <c r="A602" s="4" t="str">
        <f>"07.215/001/2025"</f>
        <v>07.215/001/2025</v>
      </c>
      <c r="B602" s="4" t="str">
        <f>"Das Personalauswahlverfahren - Einführung"</f>
        <v>Das Personalauswahlverfahren - Einführung</v>
      </c>
      <c r="C602" s="5">
        <v>45700</v>
      </c>
      <c r="D602" s="5">
        <v>45702</v>
      </c>
      <c r="E602" s="4" t="str">
        <f>"3 Tage"</f>
        <v>3 Tage</v>
      </c>
      <c r="F602" s="17">
        <v>1160</v>
      </c>
      <c r="G602" s="4" t="s">
        <v>17</v>
      </c>
      <c r="H602" s="4" t="s">
        <v>11</v>
      </c>
    </row>
    <row r="603" spans="1:8" x14ac:dyDescent="0.2">
      <c r="A603" s="4" t="str">
        <f>"07.215/002/2025"</f>
        <v>07.215/002/2025</v>
      </c>
      <c r="B603" s="4" t="str">
        <f>"Das Personalauswahlverfahren - Einführung"</f>
        <v>Das Personalauswahlverfahren - Einführung</v>
      </c>
      <c r="C603" s="5">
        <v>45840</v>
      </c>
      <c r="D603" s="5">
        <v>45842</v>
      </c>
      <c r="E603" s="4" t="str">
        <f>"3 Tage"</f>
        <v>3 Tage</v>
      </c>
      <c r="F603" s="17">
        <v>1160</v>
      </c>
      <c r="G603" s="4" t="s">
        <v>17</v>
      </c>
      <c r="H603" s="4" t="s">
        <v>11</v>
      </c>
    </row>
    <row r="604" spans="1:8" x14ac:dyDescent="0.2">
      <c r="A604" s="4" t="str">
        <f>"07.220/001/2025"</f>
        <v>07.220/001/2025</v>
      </c>
      <c r="B604" s="4" t="str">
        <f>"Personalauswahl - Anforderungsprofile und Kompetenzmodelle für passgenaue Stellenbesetzungen"</f>
        <v>Personalauswahl - Anforderungsprofile und Kompetenzmodelle für passgenaue Stellenbesetzungen</v>
      </c>
      <c r="C604" s="5">
        <v>45722</v>
      </c>
      <c r="D604" s="5">
        <v>45723</v>
      </c>
      <c r="E604" s="4" t="str">
        <f t="shared" ref="E604:E612" si="25">"2 Tage"</f>
        <v>2 Tage</v>
      </c>
      <c r="F604" s="17">
        <v>490</v>
      </c>
      <c r="G604" s="4" t="s">
        <v>17</v>
      </c>
      <c r="H604" s="4" t="s">
        <v>11</v>
      </c>
    </row>
    <row r="605" spans="1:8" x14ac:dyDescent="0.2">
      <c r="A605" s="4" t="str">
        <f>"07.225/001/2025"</f>
        <v>07.225/001/2025</v>
      </c>
      <c r="B605" s="4" t="str">
        <f>"Personalauswahl - Strukturierte Einstellungsinterviews"</f>
        <v>Personalauswahl - Strukturierte Einstellungsinterviews</v>
      </c>
      <c r="C605" s="5">
        <v>45694</v>
      </c>
      <c r="D605" s="5">
        <v>45695</v>
      </c>
      <c r="E605" s="4" t="str">
        <f t="shared" si="25"/>
        <v>2 Tage</v>
      </c>
      <c r="F605" s="17">
        <v>490</v>
      </c>
      <c r="G605" s="4" t="s">
        <v>17</v>
      </c>
      <c r="H605" s="4" t="s">
        <v>11</v>
      </c>
    </row>
    <row r="606" spans="1:8" x14ac:dyDescent="0.2">
      <c r="A606" s="4" t="str">
        <f>"07.225/002/2025"</f>
        <v>07.225/002/2025</v>
      </c>
      <c r="B606" s="4" t="str">
        <f>"Personalauswahl - Strukturierte Einstellungsinterviews"</f>
        <v>Personalauswahl - Strukturierte Einstellungsinterviews</v>
      </c>
      <c r="C606" s="5">
        <v>45908</v>
      </c>
      <c r="D606" s="5">
        <v>45909</v>
      </c>
      <c r="E606" s="4" t="str">
        <f t="shared" si="25"/>
        <v>2 Tage</v>
      </c>
      <c r="F606" s="17">
        <v>490</v>
      </c>
      <c r="G606" s="4" t="s">
        <v>17</v>
      </c>
      <c r="H606" s="4" t="s">
        <v>11</v>
      </c>
    </row>
    <row r="607" spans="1:8" x14ac:dyDescent="0.2">
      <c r="A607" s="4" t="str">
        <f>"07.226/001/2025"</f>
        <v>07.226/001/2025</v>
      </c>
      <c r="B607" s="4" t="str">
        <f>"Personalauswahl - Fragenwerkstatt für frische Interviewfragen"</f>
        <v>Personalauswahl - Fragenwerkstatt für frische Interviewfragen</v>
      </c>
      <c r="C607" s="5">
        <v>45929</v>
      </c>
      <c r="D607" s="5">
        <v>45930</v>
      </c>
      <c r="E607" s="4" t="str">
        <f t="shared" si="25"/>
        <v>2 Tage</v>
      </c>
      <c r="F607" s="17">
        <v>490</v>
      </c>
      <c r="G607" s="4" t="s">
        <v>17</v>
      </c>
      <c r="H607" s="4" t="s">
        <v>11</v>
      </c>
    </row>
    <row r="608" spans="1:8" x14ac:dyDescent="0.2">
      <c r="A608" s="4" t="str">
        <f>"07.230/001/2025"</f>
        <v>07.230/001/2025</v>
      </c>
      <c r="B608" s="4" t="str">
        <f>"Personalauswahl - Beobachtungstraining"</f>
        <v>Personalauswahl - Beobachtungstraining</v>
      </c>
      <c r="C608" s="5">
        <v>45756</v>
      </c>
      <c r="D608" s="5">
        <v>45757</v>
      </c>
      <c r="E608" s="4" t="str">
        <f t="shared" si="25"/>
        <v>2 Tage</v>
      </c>
      <c r="F608" s="17">
        <v>490</v>
      </c>
      <c r="G608" s="4" t="s">
        <v>17</v>
      </c>
      <c r="H608" s="4" t="s">
        <v>11</v>
      </c>
    </row>
    <row r="609" spans="1:8" x14ac:dyDescent="0.2">
      <c r="A609" s="4" t="str">
        <f>"07.230/002/2025"</f>
        <v>07.230/002/2025</v>
      </c>
      <c r="B609" s="4" t="str">
        <f>"Personalauswahl - Beobachtungstraining"</f>
        <v>Personalauswahl - Beobachtungstraining</v>
      </c>
      <c r="C609" s="5">
        <v>45960</v>
      </c>
      <c r="D609" s="5">
        <v>45961</v>
      </c>
      <c r="E609" s="4" t="str">
        <f t="shared" si="25"/>
        <v>2 Tage</v>
      </c>
      <c r="F609" s="17">
        <v>490</v>
      </c>
      <c r="G609" s="4" t="s">
        <v>17</v>
      </c>
      <c r="H609" s="4" t="s">
        <v>11</v>
      </c>
    </row>
    <row r="610" spans="1:8" x14ac:dyDescent="0.2">
      <c r="A610" s="4" t="str">
        <f>"07.231/001/2025"</f>
        <v>07.231/001/2025</v>
      </c>
      <c r="B610" s="4" t="str">
        <f>"Personalauswahl - Beobachtungstraining für Personalvertretungen"</f>
        <v>Personalauswahl - Beobachtungstraining für Personalvertretungen</v>
      </c>
      <c r="C610" s="5">
        <v>45698</v>
      </c>
      <c r="D610" s="5">
        <v>45699</v>
      </c>
      <c r="E610" s="4" t="str">
        <f t="shared" si="25"/>
        <v>2 Tage</v>
      </c>
      <c r="F610" s="17">
        <v>490</v>
      </c>
      <c r="G610" s="4" t="s">
        <v>17</v>
      </c>
      <c r="H610" s="4" t="s">
        <v>11</v>
      </c>
    </row>
    <row r="611" spans="1:8" x14ac:dyDescent="0.2">
      <c r="A611" s="4" t="str">
        <f>"07.315/001/2025"</f>
        <v>07.315/001/2025</v>
      </c>
      <c r="B611" s="4" t="str">
        <f>"Selbstbewusst ins behördliche Auswahlverfahren"</f>
        <v>Selbstbewusst ins behördliche Auswahlverfahren</v>
      </c>
      <c r="C611" s="5">
        <v>45727</v>
      </c>
      <c r="D611" s="5">
        <v>45728</v>
      </c>
      <c r="E611" s="4" t="str">
        <f t="shared" si="25"/>
        <v>2 Tage</v>
      </c>
      <c r="F611" s="17">
        <v>490</v>
      </c>
      <c r="G611" s="4" t="s">
        <v>17</v>
      </c>
      <c r="H611" s="4" t="s">
        <v>11</v>
      </c>
    </row>
    <row r="612" spans="1:8" x14ac:dyDescent="0.2">
      <c r="A612" s="4" t="str">
        <f>"07.315/002/2025"</f>
        <v>07.315/002/2025</v>
      </c>
      <c r="B612" s="4" t="str">
        <f>"Selbstbewusst ins behördliche Auswahlverfahren"</f>
        <v>Selbstbewusst ins behördliche Auswahlverfahren</v>
      </c>
      <c r="C612" s="5">
        <v>46002</v>
      </c>
      <c r="D612" s="5">
        <v>46003</v>
      </c>
      <c r="E612" s="4" t="str">
        <f t="shared" si="25"/>
        <v>2 Tage</v>
      </c>
      <c r="F612" s="17">
        <v>490</v>
      </c>
      <c r="G612" s="4" t="s">
        <v>17</v>
      </c>
      <c r="H612" s="4" t="s">
        <v>11</v>
      </c>
    </row>
    <row r="613" spans="1:8" x14ac:dyDescent="0.2">
      <c r="A613" s="4" t="str">
        <f>"08.110/001/2025"</f>
        <v>08.110/001/2025</v>
      </c>
      <c r="B613" s="4" t="str">
        <f>"Beamtenrecht - Einführung"</f>
        <v>Beamtenrecht - Einführung</v>
      </c>
      <c r="C613" s="5">
        <v>45726</v>
      </c>
      <c r="D613" s="5">
        <v>45755</v>
      </c>
      <c r="E613" s="4" t="str">
        <f>"2x2 Tage"</f>
        <v>2x2 Tage</v>
      </c>
      <c r="F613" s="17">
        <v>860</v>
      </c>
      <c r="G613" s="4"/>
      <c r="H613" s="4" t="s">
        <v>11</v>
      </c>
    </row>
    <row r="614" spans="1:8" x14ac:dyDescent="0.2">
      <c r="A614" s="4" t="str">
        <f>"08.110/001 a/2025"</f>
        <v>08.110/001 a/2025</v>
      </c>
      <c r="B614" s="4" t="str">
        <f>"Beamtenrecht - Einführung "</f>
        <v xml:space="preserve">Beamtenrecht - Einführung </v>
      </c>
      <c r="C614" s="5">
        <v>45726</v>
      </c>
      <c r="D614" s="5">
        <v>45727</v>
      </c>
      <c r="E614" s="4"/>
      <c r="F614" s="17"/>
      <c r="G614" s="4" t="s">
        <v>14</v>
      </c>
      <c r="H614" s="4" t="s">
        <v>11</v>
      </c>
    </row>
    <row r="615" spans="1:8" x14ac:dyDescent="0.2">
      <c r="A615" s="4" t="str">
        <f>"08.110/001 b/2025"</f>
        <v>08.110/001 b/2025</v>
      </c>
      <c r="B615" s="4" t="str">
        <f>"Beamtenrecht - Einführung "</f>
        <v xml:space="preserve">Beamtenrecht - Einführung </v>
      </c>
      <c r="C615" s="5">
        <v>45754</v>
      </c>
      <c r="D615" s="5">
        <v>45755</v>
      </c>
      <c r="E615" s="4"/>
      <c r="F615" s="17"/>
      <c r="G615" s="4" t="s">
        <v>14</v>
      </c>
      <c r="H615" s="4" t="s">
        <v>11</v>
      </c>
    </row>
    <row r="616" spans="1:8" x14ac:dyDescent="0.2">
      <c r="A616" s="4" t="str">
        <f>"08.110/002/2025"</f>
        <v>08.110/002/2025</v>
      </c>
      <c r="B616" s="4" t="str">
        <f>"Beamtenrecht - Einführung"</f>
        <v>Beamtenrecht - Einführung</v>
      </c>
      <c r="C616" s="5">
        <v>45763</v>
      </c>
      <c r="D616" s="5">
        <v>45814</v>
      </c>
      <c r="E616" s="4" t="str">
        <f>"2x2 Tage"</f>
        <v>2x2 Tage</v>
      </c>
      <c r="F616" s="17">
        <v>860</v>
      </c>
      <c r="G616" s="4"/>
      <c r="H616" s="4" t="s">
        <v>11</v>
      </c>
    </row>
    <row r="617" spans="1:8" x14ac:dyDescent="0.2">
      <c r="A617" s="4" t="str">
        <f>"08.110/002 a/2025"</f>
        <v>08.110/002 a/2025</v>
      </c>
      <c r="B617" s="4" t="str">
        <f>"Beamtenrecht - Einführung "</f>
        <v xml:space="preserve">Beamtenrecht - Einführung </v>
      </c>
      <c r="C617" s="5">
        <v>45763</v>
      </c>
      <c r="D617" s="5">
        <v>45764</v>
      </c>
      <c r="E617" s="4"/>
      <c r="F617" s="17"/>
      <c r="G617" s="4" t="s">
        <v>14</v>
      </c>
      <c r="H617" s="4" t="s">
        <v>11</v>
      </c>
    </row>
    <row r="618" spans="1:8" x14ac:dyDescent="0.2">
      <c r="A618" s="4" t="str">
        <f>"08.110/002 b/2025"</f>
        <v>08.110/002 b/2025</v>
      </c>
      <c r="B618" s="4" t="str">
        <f>"Beamtenrecht - Einführung "</f>
        <v xml:space="preserve">Beamtenrecht - Einführung </v>
      </c>
      <c r="C618" s="5">
        <v>45813</v>
      </c>
      <c r="D618" s="5">
        <v>45814</v>
      </c>
      <c r="E618" s="4"/>
      <c r="F618" s="17"/>
      <c r="G618" s="4" t="s">
        <v>14</v>
      </c>
      <c r="H618" s="4" t="s">
        <v>11</v>
      </c>
    </row>
    <row r="619" spans="1:8" x14ac:dyDescent="0.2">
      <c r="A619" s="4" t="str">
        <f>"08.110/003/2025"</f>
        <v>08.110/003/2025</v>
      </c>
      <c r="B619" s="4" t="str">
        <f>"Beamtenrecht - Einführung"</f>
        <v>Beamtenrecht - Einführung</v>
      </c>
      <c r="C619" s="5">
        <v>45810</v>
      </c>
      <c r="D619" s="5">
        <v>45839</v>
      </c>
      <c r="E619" s="4" t="str">
        <f>"2x2 Tage"</f>
        <v>2x2 Tage</v>
      </c>
      <c r="F619" s="17">
        <v>860</v>
      </c>
      <c r="G619" s="4"/>
      <c r="H619" s="4" t="s">
        <v>11</v>
      </c>
    </row>
    <row r="620" spans="1:8" x14ac:dyDescent="0.2">
      <c r="A620" s="4" t="str">
        <f>"08.110/003 a/2025"</f>
        <v>08.110/003 a/2025</v>
      </c>
      <c r="B620" s="4" t="str">
        <f>"Beamtenrecht - Einführung "</f>
        <v xml:space="preserve">Beamtenrecht - Einführung </v>
      </c>
      <c r="C620" s="5">
        <v>45810</v>
      </c>
      <c r="D620" s="5">
        <v>45811</v>
      </c>
      <c r="E620" s="4"/>
      <c r="F620" s="17"/>
      <c r="G620" s="4" t="s">
        <v>14</v>
      </c>
      <c r="H620" s="4" t="s">
        <v>11</v>
      </c>
    </row>
    <row r="621" spans="1:8" x14ac:dyDescent="0.2">
      <c r="A621" s="4" t="str">
        <f>"08.110/003 b/2025"</f>
        <v>08.110/003 b/2025</v>
      </c>
      <c r="B621" s="4" t="str">
        <f>"Beamtenrecht - Einführung "</f>
        <v xml:space="preserve">Beamtenrecht - Einführung </v>
      </c>
      <c r="C621" s="5">
        <v>45838</v>
      </c>
      <c r="D621" s="5">
        <v>45839</v>
      </c>
      <c r="E621" s="4"/>
      <c r="F621" s="17"/>
      <c r="G621" s="4" t="s">
        <v>14</v>
      </c>
      <c r="H621" s="4" t="s">
        <v>11</v>
      </c>
    </row>
    <row r="622" spans="1:8" x14ac:dyDescent="0.2">
      <c r="A622" s="4" t="str">
        <f>"08.110/004/2025"</f>
        <v>08.110/004/2025</v>
      </c>
      <c r="B622" s="4" t="str">
        <f>"Beamtenrecht - Einführung"</f>
        <v>Beamtenrecht - Einführung</v>
      </c>
      <c r="C622" s="5">
        <v>45897</v>
      </c>
      <c r="D622" s="5">
        <v>45926</v>
      </c>
      <c r="E622" s="4" t="str">
        <f>"2x2 Tage"</f>
        <v>2x2 Tage</v>
      </c>
      <c r="F622" s="17">
        <v>860</v>
      </c>
      <c r="G622" s="4"/>
      <c r="H622" s="4" t="s">
        <v>11</v>
      </c>
    </row>
    <row r="623" spans="1:8" x14ac:dyDescent="0.2">
      <c r="A623" s="4" t="str">
        <f>"08.110/004 a/2025"</f>
        <v>08.110/004 a/2025</v>
      </c>
      <c r="B623" s="4" t="str">
        <f>"Beamtenrecht - Einführung "</f>
        <v xml:space="preserve">Beamtenrecht - Einführung </v>
      </c>
      <c r="C623" s="5">
        <v>45897</v>
      </c>
      <c r="D623" s="5">
        <v>45898</v>
      </c>
      <c r="E623" s="4"/>
      <c r="F623" s="17"/>
      <c r="G623" s="4" t="s">
        <v>14</v>
      </c>
      <c r="H623" s="4" t="s">
        <v>11</v>
      </c>
    </row>
    <row r="624" spans="1:8" x14ac:dyDescent="0.2">
      <c r="A624" s="4" t="str">
        <f>"08.110/004 b/2025"</f>
        <v>08.110/004 b/2025</v>
      </c>
      <c r="B624" s="4" t="str">
        <f>"Beamtenrecht - Einführung "</f>
        <v xml:space="preserve">Beamtenrecht - Einführung </v>
      </c>
      <c r="C624" s="5">
        <v>45925</v>
      </c>
      <c r="D624" s="5">
        <v>45926</v>
      </c>
      <c r="E624" s="4"/>
      <c r="F624" s="17"/>
      <c r="G624" s="4" t="s">
        <v>14</v>
      </c>
      <c r="H624" s="4" t="s">
        <v>11</v>
      </c>
    </row>
    <row r="625" spans="1:8" x14ac:dyDescent="0.2">
      <c r="A625" s="4" t="str">
        <f>"08.110/005/2025"</f>
        <v>08.110/005/2025</v>
      </c>
      <c r="B625" s="4" t="str">
        <f>"Beamtenrecht - Einführung"</f>
        <v>Beamtenrecht - Einführung</v>
      </c>
      <c r="C625" s="5">
        <v>45939</v>
      </c>
      <c r="D625" s="5">
        <v>45953</v>
      </c>
      <c r="E625" s="4" t="str">
        <f>"2x2 Tage"</f>
        <v>2x2 Tage</v>
      </c>
      <c r="F625" s="17">
        <v>860</v>
      </c>
      <c r="G625" s="4"/>
      <c r="H625" s="4" t="s">
        <v>11</v>
      </c>
    </row>
    <row r="626" spans="1:8" x14ac:dyDescent="0.2">
      <c r="A626" s="4" t="str">
        <f>"08.110/005 a/2025"</f>
        <v>08.110/005 a/2025</v>
      </c>
      <c r="B626" s="4" t="str">
        <f>"Beamtenrecht - Einführung "</f>
        <v xml:space="preserve">Beamtenrecht - Einführung </v>
      </c>
      <c r="C626" s="5">
        <v>45939</v>
      </c>
      <c r="D626" s="5">
        <v>45940</v>
      </c>
      <c r="E626" s="4"/>
      <c r="F626" s="17"/>
      <c r="G626" s="4" t="s">
        <v>14</v>
      </c>
      <c r="H626" s="4" t="s">
        <v>11</v>
      </c>
    </row>
    <row r="627" spans="1:8" x14ac:dyDescent="0.2">
      <c r="A627" s="4" t="str">
        <f>"08.110/005 b/2025"</f>
        <v>08.110/005 b/2025</v>
      </c>
      <c r="B627" s="4" t="str">
        <f>"Beamtenrecht - Einführung "</f>
        <v xml:space="preserve">Beamtenrecht - Einführung </v>
      </c>
      <c r="C627" s="5">
        <v>45952</v>
      </c>
      <c r="D627" s="5">
        <v>45953</v>
      </c>
      <c r="E627" s="4"/>
      <c r="F627" s="17"/>
      <c r="G627" s="4" t="s">
        <v>14</v>
      </c>
      <c r="H627" s="4" t="s">
        <v>11</v>
      </c>
    </row>
    <row r="628" spans="1:8" x14ac:dyDescent="0.2">
      <c r="A628" s="4" t="str">
        <f>"08.110/006/2025"</f>
        <v>08.110/006/2025</v>
      </c>
      <c r="B628" s="4" t="str">
        <f>"Beamtenrecht - Einführung"</f>
        <v>Beamtenrecht - Einführung</v>
      </c>
      <c r="C628" s="5">
        <v>45964</v>
      </c>
      <c r="D628" s="5">
        <v>45993</v>
      </c>
      <c r="E628" s="4" t="str">
        <f>"2x2 Tage"</f>
        <v>2x2 Tage</v>
      </c>
      <c r="F628" s="17">
        <v>860</v>
      </c>
      <c r="G628" s="4"/>
      <c r="H628" s="4" t="s">
        <v>11</v>
      </c>
    </row>
    <row r="629" spans="1:8" x14ac:dyDescent="0.2">
      <c r="A629" s="4" t="str">
        <f>"08.110/006 a/2025"</f>
        <v>08.110/006 a/2025</v>
      </c>
      <c r="B629" s="4" t="str">
        <f>"Beamtenrecht - Einführung "</f>
        <v xml:space="preserve">Beamtenrecht - Einführung </v>
      </c>
      <c r="C629" s="5">
        <v>45964</v>
      </c>
      <c r="D629" s="5">
        <v>45965</v>
      </c>
      <c r="E629" s="4"/>
      <c r="F629" s="17"/>
      <c r="G629" s="4" t="s">
        <v>14</v>
      </c>
      <c r="H629" s="4" t="s">
        <v>11</v>
      </c>
    </row>
    <row r="630" spans="1:8" x14ac:dyDescent="0.2">
      <c r="A630" s="4" t="str">
        <f>"08.110/006 b/2025"</f>
        <v>08.110/006 b/2025</v>
      </c>
      <c r="B630" s="4" t="str">
        <f>"Beamtenrecht - Einführung "</f>
        <v xml:space="preserve">Beamtenrecht - Einführung </v>
      </c>
      <c r="C630" s="5">
        <v>45992</v>
      </c>
      <c r="D630" s="5">
        <v>45993</v>
      </c>
      <c r="E630" s="4"/>
      <c r="F630" s="17"/>
      <c r="G630" s="4" t="s">
        <v>14</v>
      </c>
      <c r="H630" s="4" t="s">
        <v>11</v>
      </c>
    </row>
    <row r="631" spans="1:8" x14ac:dyDescent="0.2">
      <c r="A631" s="4" t="str">
        <f>"08.120/001/2025"</f>
        <v>08.120/001/2025</v>
      </c>
      <c r="B631" s="4" t="str">
        <f>"Disziplinarrecht - das Disziplinarverfahren"</f>
        <v>Disziplinarrecht - das Disziplinarverfahren</v>
      </c>
      <c r="C631" s="5">
        <v>45670</v>
      </c>
      <c r="D631" s="5">
        <v>45741</v>
      </c>
      <c r="E631" s="4" t="str">
        <f>"2x2 Tage"</f>
        <v>2x2 Tage</v>
      </c>
      <c r="F631" s="17">
        <v>860</v>
      </c>
      <c r="G631" s="4"/>
      <c r="H631" s="4" t="s">
        <v>11</v>
      </c>
    </row>
    <row r="632" spans="1:8" x14ac:dyDescent="0.2">
      <c r="A632" s="4" t="str">
        <f>"08.120/001 a/2025"</f>
        <v>08.120/001 a/2025</v>
      </c>
      <c r="B632" s="4" t="str">
        <f>"Disziplinarrecht - Das Disziplinarverfahren - "</f>
        <v xml:space="preserve">Disziplinarrecht - Das Disziplinarverfahren - </v>
      </c>
      <c r="C632" s="5">
        <v>45670</v>
      </c>
      <c r="D632" s="5">
        <v>45671</v>
      </c>
      <c r="E632" s="4"/>
      <c r="F632" s="17"/>
      <c r="G632" s="4" t="s">
        <v>14</v>
      </c>
      <c r="H632" s="4" t="s">
        <v>11</v>
      </c>
    </row>
    <row r="633" spans="1:8" x14ac:dyDescent="0.2">
      <c r="A633" s="4" t="str">
        <f>"08.120/001 b/2025"</f>
        <v>08.120/001 b/2025</v>
      </c>
      <c r="B633" s="4" t="str">
        <f>"Disziplinarrecht - Das Disziplinarverfahren - "</f>
        <v xml:space="preserve">Disziplinarrecht - Das Disziplinarverfahren - </v>
      </c>
      <c r="C633" s="5">
        <v>45740</v>
      </c>
      <c r="D633" s="5">
        <v>45741</v>
      </c>
      <c r="E633" s="4"/>
      <c r="F633" s="17"/>
      <c r="G633" s="4" t="s">
        <v>14</v>
      </c>
      <c r="H633" s="4" t="s">
        <v>11</v>
      </c>
    </row>
    <row r="634" spans="1:8" x14ac:dyDescent="0.2">
      <c r="A634" s="4" t="str">
        <f>"08.120/002/2025"</f>
        <v>08.120/002/2025</v>
      </c>
      <c r="B634" s="4" t="str">
        <f>"Disziplinarrecht - das Disziplinarverfahren"</f>
        <v>Disziplinarrecht - das Disziplinarverfahren</v>
      </c>
      <c r="C634" s="5">
        <v>45910</v>
      </c>
      <c r="D634" s="5">
        <v>45951</v>
      </c>
      <c r="E634" s="4" t="str">
        <f>"2x2 Tage"</f>
        <v>2x2 Tage</v>
      </c>
      <c r="F634" s="17">
        <v>860</v>
      </c>
      <c r="G634" s="4"/>
      <c r="H634" s="4" t="s">
        <v>11</v>
      </c>
    </row>
    <row r="635" spans="1:8" x14ac:dyDescent="0.2">
      <c r="A635" s="4" t="str">
        <f>"08.120/002 a/2025"</f>
        <v>08.120/002 a/2025</v>
      </c>
      <c r="B635" s="4" t="str">
        <f>"Disziplinarrecht - Das Disziplinarverfahren - "</f>
        <v xml:space="preserve">Disziplinarrecht - Das Disziplinarverfahren - </v>
      </c>
      <c r="C635" s="5">
        <v>45910</v>
      </c>
      <c r="D635" s="5">
        <v>45911</v>
      </c>
      <c r="E635" s="4"/>
      <c r="F635" s="17"/>
      <c r="G635" s="4" t="s">
        <v>14</v>
      </c>
      <c r="H635" s="4" t="s">
        <v>11</v>
      </c>
    </row>
    <row r="636" spans="1:8" x14ac:dyDescent="0.2">
      <c r="A636" s="4" t="str">
        <f>"08.120/002 b/2025"</f>
        <v>08.120/002 b/2025</v>
      </c>
      <c r="B636" s="4" t="str">
        <f>"Disziplinarrecht - Das Disziplinarverfahren - "</f>
        <v xml:space="preserve">Disziplinarrecht - Das Disziplinarverfahren - </v>
      </c>
      <c r="C636" s="5">
        <v>45950</v>
      </c>
      <c r="D636" s="5">
        <v>45951</v>
      </c>
      <c r="E636" s="4"/>
      <c r="F636" s="17"/>
      <c r="G636" s="4" t="s">
        <v>14</v>
      </c>
      <c r="H636" s="4" t="s">
        <v>11</v>
      </c>
    </row>
    <row r="637" spans="1:8" x14ac:dyDescent="0.2">
      <c r="A637" s="4" t="str">
        <f>"08.128/001/2025"</f>
        <v>08.128/001/2025</v>
      </c>
      <c r="B637" s="4" t="str">
        <f>"Die dienstliche Beurteilung - Wesen und Rechtsprobleme"</f>
        <v>Die dienstliche Beurteilung - Wesen und Rechtsprobleme</v>
      </c>
      <c r="C637" s="5">
        <v>45709</v>
      </c>
      <c r="D637" s="5">
        <v>45709</v>
      </c>
      <c r="E637" s="4" t="str">
        <f>"1 Tag"</f>
        <v>1 Tag</v>
      </c>
      <c r="F637" s="17">
        <v>200</v>
      </c>
      <c r="G637" s="4" t="s">
        <v>14</v>
      </c>
      <c r="H637" s="4" t="s">
        <v>11</v>
      </c>
    </row>
    <row r="638" spans="1:8" x14ac:dyDescent="0.2">
      <c r="A638" s="4" t="str">
        <f>"08.150/001/2025"</f>
        <v>08.150/001/2025</v>
      </c>
      <c r="B638" s="4" t="str">
        <f>"Dienstunfähigkeitsrecht - Einführung"</f>
        <v>Dienstunfähigkeitsrecht - Einführung</v>
      </c>
      <c r="C638" s="5">
        <v>45666</v>
      </c>
      <c r="D638" s="5">
        <v>45667</v>
      </c>
      <c r="E638" s="4" t="str">
        <f>"2 Tage"</f>
        <v>2 Tage</v>
      </c>
      <c r="F638" s="17">
        <v>430</v>
      </c>
      <c r="G638" s="4" t="s">
        <v>14</v>
      </c>
      <c r="H638" s="4" t="s">
        <v>11</v>
      </c>
    </row>
    <row r="639" spans="1:8" x14ac:dyDescent="0.2">
      <c r="A639" s="4" t="str">
        <f>"08.150/002/2025"</f>
        <v>08.150/002/2025</v>
      </c>
      <c r="B639" s="4" t="str">
        <f>"Dienstunfähigkeitsrecht - Einführung"</f>
        <v>Dienstunfähigkeitsrecht - Einführung</v>
      </c>
      <c r="C639" s="5">
        <v>45931</v>
      </c>
      <c r="D639" s="5">
        <v>45932</v>
      </c>
      <c r="E639" s="4" t="str">
        <f>"2 Tage"</f>
        <v>2 Tage</v>
      </c>
      <c r="F639" s="17">
        <v>430</v>
      </c>
      <c r="G639" s="4" t="s">
        <v>14</v>
      </c>
      <c r="H639" s="4" t="s">
        <v>11</v>
      </c>
    </row>
    <row r="640" spans="1:8" x14ac:dyDescent="0.2">
      <c r="A640" s="4" t="str">
        <f>"08.152/001/2025"</f>
        <v>08.152/001/2025</v>
      </c>
      <c r="B640" s="4" t="str">
        <f>"Aktuelle Entwicklungen im Dienstunfähigkeitsrecht - Vertiefungsworkshop"</f>
        <v>Aktuelle Entwicklungen im Dienstunfähigkeitsrecht - Vertiefungsworkshop</v>
      </c>
      <c r="C640" s="5">
        <v>45943</v>
      </c>
      <c r="D640" s="5">
        <v>45944</v>
      </c>
      <c r="E640" s="4" t="str">
        <f>"2 Tage"</f>
        <v>2 Tage</v>
      </c>
      <c r="F640" s="17">
        <v>430</v>
      </c>
      <c r="G640" s="4" t="s">
        <v>14</v>
      </c>
      <c r="H640" s="4" t="s">
        <v>11</v>
      </c>
    </row>
    <row r="641" spans="1:8" x14ac:dyDescent="0.2">
      <c r="A641" s="4" t="str">
        <f>"08.210/001/2025"</f>
        <v>08.210/001/2025</v>
      </c>
      <c r="B641" s="4" t="str">
        <f>"Arbeitsrecht - Die richtige Vorgehensweise der Personalabteilung"</f>
        <v>Arbeitsrecht - Die richtige Vorgehensweise der Personalabteilung</v>
      </c>
      <c r="C641" s="5">
        <v>45782</v>
      </c>
      <c r="D641" s="5">
        <v>45784</v>
      </c>
      <c r="E641" s="4" t="str">
        <f>"3 Tage"</f>
        <v>3 Tage</v>
      </c>
      <c r="F641" s="17">
        <v>670</v>
      </c>
      <c r="G641" s="4" t="s">
        <v>14</v>
      </c>
      <c r="H641" s="4" t="s">
        <v>11</v>
      </c>
    </row>
    <row r="642" spans="1:8" x14ac:dyDescent="0.2">
      <c r="A642" s="4" t="str">
        <f>"08.210/002/2025"</f>
        <v>08.210/002/2025</v>
      </c>
      <c r="B642" s="4" t="str">
        <f>"Arbeitsrecht - Die richtige Vorgehensweise der Personalabteilung"</f>
        <v>Arbeitsrecht - Die richtige Vorgehensweise der Personalabteilung</v>
      </c>
      <c r="C642" s="5">
        <v>45971</v>
      </c>
      <c r="D642" s="5">
        <v>45973</v>
      </c>
      <c r="E642" s="4" t="str">
        <f>"3 Tage"</f>
        <v>3 Tage</v>
      </c>
      <c r="F642" s="17">
        <v>670</v>
      </c>
      <c r="G642" s="4" t="s">
        <v>14</v>
      </c>
      <c r="H642" s="4" t="s">
        <v>11</v>
      </c>
    </row>
    <row r="643" spans="1:8" x14ac:dyDescent="0.2">
      <c r="A643" s="4" t="str">
        <f>"08.212/001/2025"</f>
        <v>08.212/001/2025</v>
      </c>
      <c r="B643" s="4" t="str">
        <f>"Das Personalauswahlverfahren - rechtliche Fragestellungen (AGG, SGB IX, LGG, LPVG) mit aktueller Rechtsprechung"</f>
        <v>Das Personalauswahlverfahren - rechtliche Fragestellungen (AGG, SGB IX, LGG, LPVG) mit aktueller Rechtsprechung</v>
      </c>
      <c r="C643" s="5">
        <v>45666</v>
      </c>
      <c r="D643" s="5">
        <v>45667</v>
      </c>
      <c r="E643" s="4" t="str">
        <f>"2 Tage"</f>
        <v>2 Tage</v>
      </c>
      <c r="F643" s="17">
        <v>630</v>
      </c>
      <c r="G643" s="4" t="s">
        <v>14</v>
      </c>
      <c r="H643" s="4" t="s">
        <v>11</v>
      </c>
    </row>
    <row r="644" spans="1:8" x14ac:dyDescent="0.2">
      <c r="A644" s="4" t="str">
        <f>"08.212/002/2025"</f>
        <v>08.212/002/2025</v>
      </c>
      <c r="B644" s="4" t="str">
        <f>"Das Personalauswahlverfahren - rechtliche Fragestellungen (AGG, SGB IX, LGG, LPVG) mit aktueller Rechtsprechung"</f>
        <v>Das Personalauswahlverfahren - rechtliche Fragestellungen (AGG, SGB IX, LGG, LPVG) mit aktueller Rechtsprechung</v>
      </c>
      <c r="C644" s="5">
        <v>45981</v>
      </c>
      <c r="D644" s="5">
        <v>45982</v>
      </c>
      <c r="E644" s="4" t="str">
        <f>"2 Tage"</f>
        <v>2 Tage</v>
      </c>
      <c r="F644" s="17">
        <v>630</v>
      </c>
      <c r="G644" s="4" t="s">
        <v>14</v>
      </c>
      <c r="H644" s="4" t="s">
        <v>11</v>
      </c>
    </row>
    <row r="645" spans="1:8" x14ac:dyDescent="0.2">
      <c r="A645" s="4" t="str">
        <f>"08.220/001/2025"</f>
        <v>08.220/001/2025</v>
      </c>
      <c r="B645" s="4" t="str">
        <f>"TV-L - Einführung"</f>
        <v>TV-L - Einführung</v>
      </c>
      <c r="C645" s="5">
        <v>45714</v>
      </c>
      <c r="D645" s="5">
        <v>45716</v>
      </c>
      <c r="E645" s="4" t="str">
        <f>"3 Tage"</f>
        <v>3 Tage</v>
      </c>
      <c r="F645" s="17">
        <v>670</v>
      </c>
      <c r="G645" s="4" t="s">
        <v>14</v>
      </c>
      <c r="H645" s="4" t="s">
        <v>11</v>
      </c>
    </row>
    <row r="646" spans="1:8" x14ac:dyDescent="0.2">
      <c r="A646" s="4" t="str">
        <f>"08.220/002/2025"</f>
        <v>08.220/002/2025</v>
      </c>
      <c r="B646" s="4" t="str">
        <f>"TV-L - Einführung"</f>
        <v>TV-L - Einführung</v>
      </c>
      <c r="C646" s="5">
        <v>45866</v>
      </c>
      <c r="D646" s="5">
        <v>45868</v>
      </c>
      <c r="E646" s="4" t="str">
        <f>"3 Tage"</f>
        <v>3 Tage</v>
      </c>
      <c r="F646" s="17">
        <v>670</v>
      </c>
      <c r="G646" s="4" t="s">
        <v>14</v>
      </c>
      <c r="H646" s="4" t="s">
        <v>11</v>
      </c>
    </row>
    <row r="647" spans="1:8" x14ac:dyDescent="0.2">
      <c r="A647" s="4" t="str">
        <f>"08.220/003/2025"</f>
        <v>08.220/003/2025</v>
      </c>
      <c r="B647" s="4" t="str">
        <f>"TV-L - Einführung"</f>
        <v>TV-L - Einführung</v>
      </c>
      <c r="C647" s="5">
        <v>45959</v>
      </c>
      <c r="D647" s="5">
        <v>45961</v>
      </c>
      <c r="E647" s="4" t="str">
        <f>"3 Tage"</f>
        <v>3 Tage</v>
      </c>
      <c r="F647" s="17">
        <v>670</v>
      </c>
      <c r="G647" s="4" t="s">
        <v>14</v>
      </c>
      <c r="H647" s="4" t="s">
        <v>11</v>
      </c>
    </row>
    <row r="648" spans="1:8" x14ac:dyDescent="0.2">
      <c r="A648" s="4" t="str">
        <f>"08.220/004/2025"</f>
        <v>08.220/004/2025</v>
      </c>
      <c r="B648" s="4" t="str">
        <f>"TV-L - Einführung"</f>
        <v>TV-L - Einführung</v>
      </c>
      <c r="C648" s="5">
        <v>45992</v>
      </c>
      <c r="D648" s="5">
        <v>45994</v>
      </c>
      <c r="E648" s="4" t="str">
        <f>"3 Tage"</f>
        <v>3 Tage</v>
      </c>
      <c r="F648" s="17">
        <v>670</v>
      </c>
      <c r="G648" s="4" t="s">
        <v>14</v>
      </c>
      <c r="H648" s="4" t="s">
        <v>11</v>
      </c>
    </row>
    <row r="649" spans="1:8" x14ac:dyDescent="0.2">
      <c r="A649" s="4" t="str">
        <f>"08.222/001/2025"</f>
        <v>08.222/001/2025</v>
      </c>
      <c r="B649" s="4" t="str">
        <f>"Arbeits- und Tarifrecht - Workshop"</f>
        <v>Arbeits- und Tarifrecht - Workshop</v>
      </c>
      <c r="C649" s="5">
        <v>45733</v>
      </c>
      <c r="D649" s="5">
        <v>45734</v>
      </c>
      <c r="E649" s="4" t="str">
        <f>"2 Tage"</f>
        <v>2 Tage</v>
      </c>
      <c r="F649" s="17">
        <v>490</v>
      </c>
      <c r="G649" s="4" t="s">
        <v>14</v>
      </c>
      <c r="H649" s="4" t="s">
        <v>11</v>
      </c>
    </row>
    <row r="650" spans="1:8" x14ac:dyDescent="0.2">
      <c r="A650" s="4" t="str">
        <f>"08.222/002/2025"</f>
        <v>08.222/002/2025</v>
      </c>
      <c r="B650" s="4" t="str">
        <f>"Arbeits- und Tarifrecht - Workshop"</f>
        <v>Arbeits- und Tarifrecht - Workshop</v>
      </c>
      <c r="C650" s="5">
        <v>45959</v>
      </c>
      <c r="D650" s="5">
        <v>45960</v>
      </c>
      <c r="E650" s="4" t="str">
        <f>"2 Tage"</f>
        <v>2 Tage</v>
      </c>
      <c r="F650" s="17">
        <v>490</v>
      </c>
      <c r="G650" s="4" t="s">
        <v>14</v>
      </c>
      <c r="H650" s="4" t="s">
        <v>11</v>
      </c>
    </row>
    <row r="651" spans="1:8" x14ac:dyDescent="0.2">
      <c r="A651" s="4" t="str">
        <f>"08.223/001/2025"</f>
        <v>08.223/001/2025</v>
      </c>
      <c r="B651" s="4" t="str">
        <f>"Rechtliche Grundlagen des Arbeits- und Tarifrechts - Spezial: Lehrerinnen und Lehrer"</f>
        <v>Rechtliche Grundlagen des Arbeits- und Tarifrechts - Spezial: Lehrerinnen und Lehrer</v>
      </c>
      <c r="C651" s="5">
        <v>45799</v>
      </c>
      <c r="D651" s="5">
        <v>45826</v>
      </c>
      <c r="E651" s="4" t="str">
        <f>"2x2 Tage"</f>
        <v>2x2 Tage</v>
      </c>
      <c r="F651" s="17">
        <v>1060</v>
      </c>
      <c r="G651" s="4"/>
      <c r="H651" s="4" t="s">
        <v>11</v>
      </c>
    </row>
    <row r="652" spans="1:8" x14ac:dyDescent="0.2">
      <c r="A652" s="4" t="str">
        <f>"08.223/001 a/2025"</f>
        <v>08.223/001 a/2025</v>
      </c>
      <c r="B652" s="4" t="str">
        <f>"TV-L - Arbeitsrechtliche Grundlagen Spezial Lehrerinnen und Lehrer"</f>
        <v>TV-L - Arbeitsrechtliche Grundlagen Spezial Lehrerinnen und Lehrer</v>
      </c>
      <c r="C652" s="5">
        <v>45799</v>
      </c>
      <c r="D652" s="5">
        <v>45800</v>
      </c>
      <c r="E652" s="4"/>
      <c r="F652" s="17"/>
      <c r="G652" s="4" t="s">
        <v>14</v>
      </c>
      <c r="H652" s="4" t="s">
        <v>11</v>
      </c>
    </row>
    <row r="653" spans="1:8" x14ac:dyDescent="0.2">
      <c r="A653" s="4" t="str">
        <f>"08.223/001 b/2025"</f>
        <v>08.223/001 b/2025</v>
      </c>
      <c r="B653" s="4" t="str">
        <f>"TV-L - Arbeitsrechtliche Grundlagen Spezial Lehrerinnen und Lehrer"</f>
        <v>TV-L - Arbeitsrechtliche Grundlagen Spezial Lehrerinnen und Lehrer</v>
      </c>
      <c r="C653" s="5">
        <v>45825</v>
      </c>
      <c r="D653" s="5">
        <v>45826</v>
      </c>
      <c r="E653" s="4"/>
      <c r="F653" s="17"/>
      <c r="G653" s="4" t="s">
        <v>14</v>
      </c>
      <c r="H653" s="4" t="s">
        <v>11</v>
      </c>
    </row>
    <row r="654" spans="1:8" x14ac:dyDescent="0.2">
      <c r="A654" s="4" t="str">
        <f>"08.223/002/2025"</f>
        <v>08.223/002/2025</v>
      </c>
      <c r="B654" s="4" t="str">
        <f>"Rechtliche Grundlagen des Arbeits- und Tarifrechts - Spezial: Lehrerinnen und Lehrer"</f>
        <v>Rechtliche Grundlagen des Arbeits- und Tarifrechts - Spezial: Lehrerinnen und Lehrer</v>
      </c>
      <c r="C654" s="5">
        <v>45939</v>
      </c>
      <c r="D654" s="5">
        <v>45965</v>
      </c>
      <c r="E654" s="4" t="str">
        <f>"2x2 Tage"</f>
        <v>2x2 Tage</v>
      </c>
      <c r="F654" s="17">
        <v>1060</v>
      </c>
      <c r="G654" s="4"/>
      <c r="H654" s="4" t="s">
        <v>11</v>
      </c>
    </row>
    <row r="655" spans="1:8" x14ac:dyDescent="0.2">
      <c r="A655" s="4" t="str">
        <f>"08.223/002 a/2025"</f>
        <v>08.223/002 a/2025</v>
      </c>
      <c r="B655" s="4" t="str">
        <f>"TV-L - Arbeitsrechtliche Grundlagen Spezial Lehrerinnen und Lehrer"</f>
        <v>TV-L - Arbeitsrechtliche Grundlagen Spezial Lehrerinnen und Lehrer</v>
      </c>
      <c r="C655" s="5">
        <v>45939</v>
      </c>
      <c r="D655" s="5">
        <v>45940</v>
      </c>
      <c r="E655" s="4"/>
      <c r="F655" s="17"/>
      <c r="G655" s="4" t="s">
        <v>14</v>
      </c>
      <c r="H655" s="4" t="s">
        <v>11</v>
      </c>
    </row>
    <row r="656" spans="1:8" x14ac:dyDescent="0.2">
      <c r="A656" s="4" t="str">
        <f>"08.223/002 b/2025"</f>
        <v>08.223/002 b/2025</v>
      </c>
      <c r="B656" s="4" t="str">
        <f>"TV-L - Arbeitsrechtliche Grundlagen Spezial Lehrerinnen und Lehrer"</f>
        <v>TV-L - Arbeitsrechtliche Grundlagen Spezial Lehrerinnen und Lehrer</v>
      </c>
      <c r="C656" s="5">
        <v>45964</v>
      </c>
      <c r="D656" s="5">
        <v>45965</v>
      </c>
      <c r="E656" s="4"/>
      <c r="F656" s="17"/>
      <c r="G656" s="4" t="s">
        <v>14</v>
      </c>
      <c r="H656" s="4" t="s">
        <v>11</v>
      </c>
    </row>
    <row r="657" spans="1:8" x14ac:dyDescent="0.2">
      <c r="A657" s="4" t="str">
        <f>"08.227/001/2025"</f>
        <v>08.227/001/2025</v>
      </c>
      <c r="B657" s="4" t="str">
        <f t="shared" ref="B657:B662" si="26">"TV-L Einführung - Blended Learning"</f>
        <v>TV-L Einführung - Blended Learning</v>
      </c>
      <c r="C657" s="5">
        <v>45712</v>
      </c>
      <c r="D657" s="5">
        <v>45714</v>
      </c>
      <c r="E657" s="4" t="str">
        <f>"3 Tage"</f>
        <v>3 Tage</v>
      </c>
      <c r="F657" s="17">
        <v>610</v>
      </c>
      <c r="G657" s="4"/>
      <c r="H657" s="4" t="s">
        <v>11</v>
      </c>
    </row>
    <row r="658" spans="1:8" x14ac:dyDescent="0.2">
      <c r="A658" s="4" t="str">
        <f>"08.227/001 a/2025"</f>
        <v>08.227/001 a/2025</v>
      </c>
      <c r="B658" s="4" t="str">
        <f t="shared" si="26"/>
        <v>TV-L Einführung - Blended Learning</v>
      </c>
      <c r="C658" s="5">
        <v>45712</v>
      </c>
      <c r="D658" s="5">
        <v>45713</v>
      </c>
      <c r="E658" s="4"/>
      <c r="F658" s="17"/>
      <c r="G658" s="4" t="s">
        <v>14</v>
      </c>
      <c r="H658" s="4" t="s">
        <v>11</v>
      </c>
    </row>
    <row r="659" spans="1:8" x14ac:dyDescent="0.2">
      <c r="A659" s="4" t="str">
        <f>"08.227/001 b/2025"</f>
        <v>08.227/001 b/2025</v>
      </c>
      <c r="B659" s="4" t="str">
        <f t="shared" si="26"/>
        <v>TV-L Einführung - Blended Learning</v>
      </c>
      <c r="C659" s="5">
        <v>45714</v>
      </c>
      <c r="D659" s="5">
        <v>45714</v>
      </c>
      <c r="E659" s="4"/>
      <c r="F659" s="17"/>
      <c r="G659" s="4" t="s">
        <v>14</v>
      </c>
      <c r="H659" s="4" t="s">
        <v>11</v>
      </c>
    </row>
    <row r="660" spans="1:8" x14ac:dyDescent="0.2">
      <c r="A660" s="4" t="str">
        <f>"08.227/002/2025"</f>
        <v>08.227/002/2025</v>
      </c>
      <c r="B660" s="4" t="str">
        <f t="shared" si="26"/>
        <v>TV-L Einführung - Blended Learning</v>
      </c>
      <c r="C660" s="5">
        <v>45810</v>
      </c>
      <c r="D660" s="5">
        <v>45812</v>
      </c>
      <c r="E660" s="4" t="str">
        <f>"3 Tage"</f>
        <v>3 Tage</v>
      </c>
      <c r="F660" s="17">
        <v>610</v>
      </c>
      <c r="G660" s="4"/>
      <c r="H660" s="4" t="s">
        <v>11</v>
      </c>
    </row>
    <row r="661" spans="1:8" x14ac:dyDescent="0.2">
      <c r="A661" s="4" t="str">
        <f>"08.227/002 a/2025"</f>
        <v>08.227/002 a/2025</v>
      </c>
      <c r="B661" s="4" t="str">
        <f t="shared" si="26"/>
        <v>TV-L Einführung - Blended Learning</v>
      </c>
      <c r="C661" s="5">
        <v>45810</v>
      </c>
      <c r="D661" s="5">
        <v>45811</v>
      </c>
      <c r="E661" s="4"/>
      <c r="F661" s="17"/>
      <c r="G661" s="4" t="s">
        <v>14</v>
      </c>
      <c r="H661" s="4" t="s">
        <v>11</v>
      </c>
    </row>
    <row r="662" spans="1:8" x14ac:dyDescent="0.2">
      <c r="A662" s="4" t="str">
        <f>"08.227/002 b/2025"</f>
        <v>08.227/002 b/2025</v>
      </c>
      <c r="B662" s="4" t="str">
        <f t="shared" si="26"/>
        <v>TV-L Einführung - Blended Learning</v>
      </c>
      <c r="C662" s="5">
        <v>45812</v>
      </c>
      <c r="D662" s="5">
        <v>45812</v>
      </c>
      <c r="E662" s="4"/>
      <c r="F662" s="17"/>
      <c r="G662" s="4" t="s">
        <v>14</v>
      </c>
      <c r="H662" s="4" t="s">
        <v>11</v>
      </c>
    </row>
    <row r="663" spans="1:8" x14ac:dyDescent="0.2">
      <c r="A663" s="4" t="str">
        <f>"08.228/001/2025"</f>
        <v>08.228/001/2025</v>
      </c>
      <c r="B663" s="4" t="str">
        <f>"TV-L - Entgeltfortzahlungen"</f>
        <v>TV-L - Entgeltfortzahlungen</v>
      </c>
      <c r="C663" s="5">
        <v>45730</v>
      </c>
      <c r="D663" s="5">
        <v>45730</v>
      </c>
      <c r="E663" s="4" t="str">
        <f>"1 Tag"</f>
        <v>1 Tag</v>
      </c>
      <c r="F663" s="17">
        <v>190</v>
      </c>
      <c r="G663" s="4" t="s">
        <v>14</v>
      </c>
      <c r="H663" s="4" t="s">
        <v>11</v>
      </c>
    </row>
    <row r="664" spans="1:8" x14ac:dyDescent="0.2">
      <c r="A664" s="4" t="str">
        <f>"08.228/002/2025"</f>
        <v>08.228/002/2025</v>
      </c>
      <c r="B664" s="4" t="str">
        <f>"TV-L - Entgeltfortzahlungen"</f>
        <v>TV-L - Entgeltfortzahlungen</v>
      </c>
      <c r="C664" s="5">
        <v>45968</v>
      </c>
      <c r="D664" s="5">
        <v>45968</v>
      </c>
      <c r="E664" s="4" t="str">
        <f>"1 Tag"</f>
        <v>1 Tag</v>
      </c>
      <c r="F664" s="17">
        <v>190</v>
      </c>
      <c r="G664" s="4" t="s">
        <v>14</v>
      </c>
      <c r="H664" s="4" t="s">
        <v>11</v>
      </c>
    </row>
    <row r="665" spans="1:8" x14ac:dyDescent="0.2">
      <c r="A665" s="4" t="str">
        <f>"08.230/001/2025"</f>
        <v>08.230/001/2025</v>
      </c>
      <c r="B665" s="4" t="str">
        <f>"TV-L - schulspezifische Regelungen"</f>
        <v>TV-L - schulspezifische Regelungen</v>
      </c>
      <c r="C665" s="5">
        <v>45743</v>
      </c>
      <c r="D665" s="5">
        <v>45744</v>
      </c>
      <c r="E665" s="4" t="str">
        <f>"2 Tage"</f>
        <v>2 Tage</v>
      </c>
      <c r="F665" s="17">
        <v>630</v>
      </c>
      <c r="G665" s="4" t="s">
        <v>14</v>
      </c>
      <c r="H665" s="4" t="s">
        <v>11</v>
      </c>
    </row>
    <row r="666" spans="1:8" x14ac:dyDescent="0.2">
      <c r="A666" s="4" t="str">
        <f>"08.230/002/2025"</f>
        <v>08.230/002/2025</v>
      </c>
      <c r="B666" s="4" t="str">
        <f>"TV-L - schulspezifische Regelungen"</f>
        <v>TV-L - schulspezifische Regelungen</v>
      </c>
      <c r="C666" s="5">
        <v>45897</v>
      </c>
      <c r="D666" s="5">
        <v>45898</v>
      </c>
      <c r="E666" s="4" t="str">
        <f>"2 Tage"</f>
        <v>2 Tage</v>
      </c>
      <c r="F666" s="17">
        <v>630</v>
      </c>
      <c r="G666" s="4" t="s">
        <v>14</v>
      </c>
      <c r="H666" s="4" t="s">
        <v>11</v>
      </c>
    </row>
    <row r="667" spans="1:8" x14ac:dyDescent="0.2">
      <c r="A667" s="4" t="str">
        <f>"08.232/001/2025"</f>
        <v>08.232/001/2025</v>
      </c>
      <c r="B667" s="4" t="str">
        <f>"TV-L - Befristung von Arbeitsverträgen"</f>
        <v>TV-L - Befristung von Arbeitsverträgen</v>
      </c>
      <c r="C667" s="5">
        <v>45847</v>
      </c>
      <c r="D667" s="5">
        <v>45848</v>
      </c>
      <c r="E667" s="4" t="str">
        <f>"2 Tage"</f>
        <v>2 Tage</v>
      </c>
      <c r="F667" s="17">
        <v>430</v>
      </c>
      <c r="G667" s="4" t="s">
        <v>14</v>
      </c>
      <c r="H667" s="4" t="s">
        <v>11</v>
      </c>
    </row>
    <row r="668" spans="1:8" x14ac:dyDescent="0.2">
      <c r="A668" s="4" t="str">
        <f>"08.234/001/2025"</f>
        <v>08.234/001/2025</v>
      </c>
      <c r="B668" s="4" t="str">
        <f>"TV-L - Arbeitszeugnisse"</f>
        <v>TV-L - Arbeitszeugnisse</v>
      </c>
      <c r="C668" s="5">
        <v>45670</v>
      </c>
      <c r="D668" s="5">
        <v>45670</v>
      </c>
      <c r="E668" s="4" t="str">
        <f>"1 Tag"</f>
        <v>1 Tag</v>
      </c>
      <c r="F668" s="17">
        <v>190</v>
      </c>
      <c r="G668" s="4" t="s">
        <v>14</v>
      </c>
      <c r="H668" s="4" t="s">
        <v>11</v>
      </c>
    </row>
    <row r="669" spans="1:8" x14ac:dyDescent="0.2">
      <c r="A669" s="4" t="str">
        <f>"08.234/002/2025"</f>
        <v>08.234/002/2025</v>
      </c>
      <c r="B669" s="4" t="str">
        <f>"TV-L - Arbeitszeugnisse"</f>
        <v>TV-L - Arbeitszeugnisse</v>
      </c>
      <c r="C669" s="5">
        <v>45845</v>
      </c>
      <c r="D669" s="5">
        <v>45845</v>
      </c>
      <c r="E669" s="4" t="str">
        <f>"1 Tag"</f>
        <v>1 Tag</v>
      </c>
      <c r="F669" s="17">
        <v>190</v>
      </c>
      <c r="G669" s="4" t="s">
        <v>14</v>
      </c>
      <c r="H669" s="4" t="s">
        <v>11</v>
      </c>
    </row>
    <row r="670" spans="1:8" x14ac:dyDescent="0.2">
      <c r="A670" s="4" t="str">
        <f>"08.236/003/2025"</f>
        <v>08.236/003/2025</v>
      </c>
      <c r="B670" s="4" t="str">
        <f>"Tätigkeitsbewertung - Grundlagen"</f>
        <v>Tätigkeitsbewertung - Grundlagen</v>
      </c>
      <c r="C670" s="5">
        <v>45978</v>
      </c>
      <c r="D670" s="5">
        <v>46007</v>
      </c>
      <c r="E670" s="4" t="str">
        <f>"2x2 Tage"</f>
        <v>2x2 Tage</v>
      </c>
      <c r="F670" s="17">
        <v>860</v>
      </c>
      <c r="G670" s="4"/>
      <c r="H670" s="4" t="s">
        <v>11</v>
      </c>
    </row>
    <row r="671" spans="1:8" x14ac:dyDescent="0.2">
      <c r="A671" s="4" t="str">
        <f>"08.236/003 a/2025"</f>
        <v>08.236/003 a/2025</v>
      </c>
      <c r="B671" s="4" t="str">
        <f>"Tätigkeitsbewertung - Grundlagen - "</f>
        <v xml:space="preserve">Tätigkeitsbewertung - Grundlagen - </v>
      </c>
      <c r="C671" s="5">
        <v>45978</v>
      </c>
      <c r="D671" s="5">
        <v>45979</v>
      </c>
      <c r="E671" s="4"/>
      <c r="F671" s="17"/>
      <c r="G671" s="4" t="s">
        <v>14</v>
      </c>
      <c r="H671" s="4" t="s">
        <v>11</v>
      </c>
    </row>
    <row r="672" spans="1:8" x14ac:dyDescent="0.2">
      <c r="A672" s="4" t="str">
        <f>"08.236/003 b/2025"</f>
        <v>08.236/003 b/2025</v>
      </c>
      <c r="B672" s="4" t="str">
        <f>"Tätigkeitsbewertung - Grundlagen -"</f>
        <v>Tätigkeitsbewertung - Grundlagen -</v>
      </c>
      <c r="C672" s="5">
        <v>46006</v>
      </c>
      <c r="D672" s="5">
        <v>46007</v>
      </c>
      <c r="E672" s="4"/>
      <c r="F672" s="17"/>
      <c r="G672" s="4" t="s">
        <v>14</v>
      </c>
      <c r="H672" s="4" t="s">
        <v>11</v>
      </c>
    </row>
    <row r="673" spans="1:8" x14ac:dyDescent="0.2">
      <c r="A673" s="4" t="str">
        <f>"08.238/001/2025"</f>
        <v>08.238/001/2025</v>
      </c>
      <c r="B673" s="4" t="str">
        <f>"Tätigkeitsbeschreibung, Tätigkeitsbewertung und Eingruppierung - Vertiefungsworkshop"</f>
        <v>Tätigkeitsbeschreibung, Tätigkeitsbewertung und Eingruppierung - Vertiefungsworkshop</v>
      </c>
      <c r="C673" s="5">
        <v>45782</v>
      </c>
      <c r="D673" s="5">
        <v>45783</v>
      </c>
      <c r="E673" s="4" t="str">
        <f>"2 Tage"</f>
        <v>2 Tage</v>
      </c>
      <c r="F673" s="17">
        <v>660</v>
      </c>
      <c r="G673" s="4" t="s">
        <v>14</v>
      </c>
      <c r="H673" s="4" t="s">
        <v>22</v>
      </c>
    </row>
    <row r="674" spans="1:8" x14ac:dyDescent="0.2">
      <c r="A674" s="4" t="str">
        <f>"08.238/002/2025"</f>
        <v>08.238/002/2025</v>
      </c>
      <c r="B674" s="4" t="str">
        <f>"Tätigkeitsbeschreibung, Tätigkeitsbewertung und Eingruppierung - Vertiefungsworkshop"</f>
        <v>Tätigkeitsbeschreibung, Tätigkeitsbewertung und Eingruppierung - Vertiefungsworkshop</v>
      </c>
      <c r="C674" s="5">
        <v>45895</v>
      </c>
      <c r="D674" s="5">
        <v>45896</v>
      </c>
      <c r="E674" s="4" t="str">
        <f>"2 Tage"</f>
        <v>2 Tage</v>
      </c>
      <c r="F674" s="17">
        <v>660</v>
      </c>
      <c r="G674" s="4" t="s">
        <v>14</v>
      </c>
      <c r="H674" s="4" t="s">
        <v>22</v>
      </c>
    </row>
    <row r="675" spans="1:8" x14ac:dyDescent="0.2">
      <c r="A675" s="4" t="str">
        <f>"08.240/001/2025"</f>
        <v>08.240/001/2025</v>
      </c>
      <c r="B675" s="4" t="str">
        <f>"Tätigkeitsbewertung - Überblick für Führungskräfte"</f>
        <v>Tätigkeitsbewertung - Überblick für Führungskräfte</v>
      </c>
      <c r="C675" s="5">
        <v>45784</v>
      </c>
      <c r="D675" s="5">
        <v>45785</v>
      </c>
      <c r="E675" s="4" t="str">
        <f>"2 Tage"</f>
        <v>2 Tage</v>
      </c>
      <c r="F675" s="17">
        <v>660</v>
      </c>
      <c r="G675" s="4" t="s">
        <v>14</v>
      </c>
      <c r="H675" s="4" t="s">
        <v>11</v>
      </c>
    </row>
    <row r="676" spans="1:8" x14ac:dyDescent="0.2">
      <c r="A676" s="4" t="str">
        <f>"08.240/002/2025"</f>
        <v>08.240/002/2025</v>
      </c>
      <c r="B676" s="4" t="str">
        <f>"Tätigkeitsbewertung - Überblick für Führungskräfte"</f>
        <v>Tätigkeitsbewertung - Überblick für Führungskräfte</v>
      </c>
      <c r="C676" s="5">
        <v>45922</v>
      </c>
      <c r="D676" s="5">
        <v>45923</v>
      </c>
      <c r="E676" s="4" t="str">
        <f>"2 Tage"</f>
        <v>2 Tage</v>
      </c>
      <c r="F676" s="17">
        <v>660</v>
      </c>
      <c r="G676" s="4" t="s">
        <v>14</v>
      </c>
      <c r="H676" s="4" t="s">
        <v>11</v>
      </c>
    </row>
    <row r="677" spans="1:8" x14ac:dyDescent="0.2">
      <c r="A677" s="4" t="str">
        <f>"08.310/001/2025"</f>
        <v>08.310/001/2025</v>
      </c>
      <c r="B677" s="4" t="str">
        <f t="shared" ref="B677:B690" si="27">"Grundlagen des Personalwesens"</f>
        <v>Grundlagen des Personalwesens</v>
      </c>
      <c r="C677" s="5">
        <v>45665</v>
      </c>
      <c r="D677" s="5">
        <v>45667</v>
      </c>
      <c r="E677" s="4" t="str">
        <f t="shared" ref="E677:E690" si="28">"3 Tage"</f>
        <v>3 Tage</v>
      </c>
      <c r="F677" s="17">
        <v>670</v>
      </c>
      <c r="G677" s="4" t="s">
        <v>18</v>
      </c>
      <c r="H677" s="4" t="s">
        <v>11</v>
      </c>
    </row>
    <row r="678" spans="1:8" x14ac:dyDescent="0.2">
      <c r="A678" s="4" t="str">
        <f>"08.310/002/2025"</f>
        <v>08.310/002/2025</v>
      </c>
      <c r="B678" s="4" t="str">
        <f t="shared" si="27"/>
        <v>Grundlagen des Personalwesens</v>
      </c>
      <c r="C678" s="5">
        <v>45686</v>
      </c>
      <c r="D678" s="5">
        <v>45688</v>
      </c>
      <c r="E678" s="4" t="str">
        <f t="shared" si="28"/>
        <v>3 Tage</v>
      </c>
      <c r="F678" s="17">
        <v>670</v>
      </c>
      <c r="G678" s="4" t="s">
        <v>18</v>
      </c>
      <c r="H678" s="4" t="s">
        <v>11</v>
      </c>
    </row>
    <row r="679" spans="1:8" x14ac:dyDescent="0.2">
      <c r="A679" s="4" t="str">
        <f>"08.310/003/2025"</f>
        <v>08.310/003/2025</v>
      </c>
      <c r="B679" s="4" t="str">
        <f t="shared" si="27"/>
        <v>Grundlagen des Personalwesens</v>
      </c>
      <c r="C679" s="5">
        <v>45693</v>
      </c>
      <c r="D679" s="5">
        <v>45695</v>
      </c>
      <c r="E679" s="4" t="str">
        <f t="shared" si="28"/>
        <v>3 Tage</v>
      </c>
      <c r="F679" s="17">
        <v>670</v>
      </c>
      <c r="G679" s="4" t="s">
        <v>18</v>
      </c>
      <c r="H679" s="4" t="s">
        <v>11</v>
      </c>
    </row>
    <row r="680" spans="1:8" x14ac:dyDescent="0.2">
      <c r="A680" s="4" t="str">
        <f>"08.310/004/2025"</f>
        <v>08.310/004/2025</v>
      </c>
      <c r="B680" s="4" t="str">
        <f t="shared" si="27"/>
        <v>Grundlagen des Personalwesens</v>
      </c>
      <c r="C680" s="5">
        <v>45721</v>
      </c>
      <c r="D680" s="5">
        <v>45723</v>
      </c>
      <c r="E680" s="4" t="str">
        <f t="shared" si="28"/>
        <v>3 Tage</v>
      </c>
      <c r="F680" s="17">
        <v>670</v>
      </c>
      <c r="G680" s="4" t="s">
        <v>18</v>
      </c>
      <c r="H680" s="4" t="s">
        <v>11</v>
      </c>
    </row>
    <row r="681" spans="1:8" x14ac:dyDescent="0.2">
      <c r="A681" s="4" t="str">
        <f>"08.310/005/2025"</f>
        <v>08.310/005/2025</v>
      </c>
      <c r="B681" s="4" t="str">
        <f t="shared" si="27"/>
        <v>Grundlagen des Personalwesens</v>
      </c>
      <c r="C681" s="5">
        <v>45749</v>
      </c>
      <c r="D681" s="5">
        <v>45751</v>
      </c>
      <c r="E681" s="4" t="str">
        <f t="shared" si="28"/>
        <v>3 Tage</v>
      </c>
      <c r="F681" s="17">
        <v>670</v>
      </c>
      <c r="G681" s="4" t="s">
        <v>18</v>
      </c>
      <c r="H681" s="4" t="s">
        <v>11</v>
      </c>
    </row>
    <row r="682" spans="1:8" x14ac:dyDescent="0.2">
      <c r="A682" s="4" t="str">
        <f>"08.310/006/2025"</f>
        <v>08.310/006/2025</v>
      </c>
      <c r="B682" s="4" t="str">
        <f t="shared" si="27"/>
        <v>Grundlagen des Personalwesens</v>
      </c>
      <c r="C682" s="5">
        <v>45756</v>
      </c>
      <c r="D682" s="5">
        <v>45758</v>
      </c>
      <c r="E682" s="4" t="str">
        <f t="shared" si="28"/>
        <v>3 Tage</v>
      </c>
      <c r="F682" s="17">
        <v>670</v>
      </c>
      <c r="G682" s="4" t="s">
        <v>18</v>
      </c>
      <c r="H682" s="4" t="s">
        <v>11</v>
      </c>
    </row>
    <row r="683" spans="1:8" x14ac:dyDescent="0.2">
      <c r="A683" s="4" t="str">
        <f>"08.310/007/2025"</f>
        <v>08.310/007/2025</v>
      </c>
      <c r="B683" s="4" t="str">
        <f t="shared" si="27"/>
        <v>Grundlagen des Personalwesens</v>
      </c>
      <c r="C683" s="5">
        <v>45798</v>
      </c>
      <c r="D683" s="5">
        <v>45800</v>
      </c>
      <c r="E683" s="4" t="str">
        <f t="shared" si="28"/>
        <v>3 Tage</v>
      </c>
      <c r="F683" s="17">
        <v>670</v>
      </c>
      <c r="G683" s="4" t="s">
        <v>18</v>
      </c>
      <c r="H683" s="4" t="s">
        <v>11</v>
      </c>
    </row>
    <row r="684" spans="1:8" x14ac:dyDescent="0.2">
      <c r="A684" s="4" t="str">
        <f>"08.310/008/2025"</f>
        <v>08.310/008/2025</v>
      </c>
      <c r="B684" s="4" t="str">
        <f t="shared" si="27"/>
        <v>Grundlagen des Personalwesens</v>
      </c>
      <c r="C684" s="5">
        <v>45840</v>
      </c>
      <c r="D684" s="5">
        <v>45842</v>
      </c>
      <c r="E684" s="4" t="str">
        <f t="shared" si="28"/>
        <v>3 Tage</v>
      </c>
      <c r="F684" s="17">
        <v>670</v>
      </c>
      <c r="G684" s="4" t="s">
        <v>18</v>
      </c>
      <c r="H684" s="4" t="s">
        <v>11</v>
      </c>
    </row>
    <row r="685" spans="1:8" x14ac:dyDescent="0.2">
      <c r="A685" s="4" t="str">
        <f>"08.310/009/2025"</f>
        <v>08.310/009/2025</v>
      </c>
      <c r="B685" s="4" t="str">
        <f t="shared" si="27"/>
        <v>Grundlagen des Personalwesens</v>
      </c>
      <c r="C685" s="5">
        <v>45896</v>
      </c>
      <c r="D685" s="5">
        <v>45898</v>
      </c>
      <c r="E685" s="4" t="str">
        <f t="shared" si="28"/>
        <v>3 Tage</v>
      </c>
      <c r="F685" s="17">
        <v>670</v>
      </c>
      <c r="G685" s="4" t="s">
        <v>18</v>
      </c>
      <c r="H685" s="4" t="s">
        <v>11</v>
      </c>
    </row>
    <row r="686" spans="1:8" x14ac:dyDescent="0.2">
      <c r="A686" s="4" t="str">
        <f>"08.310/010/2025"</f>
        <v>08.310/010/2025</v>
      </c>
      <c r="B686" s="4" t="str">
        <f t="shared" si="27"/>
        <v>Grundlagen des Personalwesens</v>
      </c>
      <c r="C686" s="5">
        <v>45917</v>
      </c>
      <c r="D686" s="5">
        <v>45919</v>
      </c>
      <c r="E686" s="4" t="str">
        <f t="shared" si="28"/>
        <v>3 Tage</v>
      </c>
      <c r="F686" s="17">
        <v>670</v>
      </c>
      <c r="G686" s="4" t="s">
        <v>18</v>
      </c>
      <c r="H686" s="4" t="s">
        <v>11</v>
      </c>
    </row>
    <row r="687" spans="1:8" x14ac:dyDescent="0.2">
      <c r="A687" s="4" t="str">
        <f>"08.310/011/2025"</f>
        <v>08.310/011/2025</v>
      </c>
      <c r="B687" s="4" t="str">
        <f t="shared" si="27"/>
        <v>Grundlagen des Personalwesens</v>
      </c>
      <c r="C687" s="5">
        <v>45952</v>
      </c>
      <c r="D687" s="5">
        <v>45954</v>
      </c>
      <c r="E687" s="4" t="str">
        <f t="shared" si="28"/>
        <v>3 Tage</v>
      </c>
      <c r="F687" s="17">
        <v>670</v>
      </c>
      <c r="G687" s="4" t="s">
        <v>18</v>
      </c>
      <c r="H687" s="4" t="s">
        <v>11</v>
      </c>
    </row>
    <row r="688" spans="1:8" x14ac:dyDescent="0.2">
      <c r="A688" s="4" t="str">
        <f>"08.310/012/2025"</f>
        <v>08.310/012/2025</v>
      </c>
      <c r="B688" s="4" t="str">
        <f t="shared" si="27"/>
        <v>Grundlagen des Personalwesens</v>
      </c>
      <c r="C688" s="5">
        <v>45973</v>
      </c>
      <c r="D688" s="5">
        <v>45975</v>
      </c>
      <c r="E688" s="4" t="str">
        <f t="shared" si="28"/>
        <v>3 Tage</v>
      </c>
      <c r="F688" s="17">
        <v>670</v>
      </c>
      <c r="G688" s="4" t="s">
        <v>18</v>
      </c>
      <c r="H688" s="4" t="s">
        <v>11</v>
      </c>
    </row>
    <row r="689" spans="1:8" x14ac:dyDescent="0.2">
      <c r="A689" s="4" t="str">
        <f>"08.310/013/2025"</f>
        <v>08.310/013/2025</v>
      </c>
      <c r="B689" s="4" t="str">
        <f t="shared" si="27"/>
        <v>Grundlagen des Personalwesens</v>
      </c>
      <c r="C689" s="5">
        <v>45987</v>
      </c>
      <c r="D689" s="5">
        <v>45989</v>
      </c>
      <c r="E689" s="4" t="str">
        <f t="shared" si="28"/>
        <v>3 Tage</v>
      </c>
      <c r="F689" s="17">
        <v>670</v>
      </c>
      <c r="G689" s="4" t="s">
        <v>18</v>
      </c>
      <c r="H689" s="4" t="s">
        <v>11</v>
      </c>
    </row>
    <row r="690" spans="1:8" x14ac:dyDescent="0.2">
      <c r="A690" s="4" t="str">
        <f>"08.310/014/2025"</f>
        <v>08.310/014/2025</v>
      </c>
      <c r="B690" s="4" t="str">
        <f t="shared" si="27"/>
        <v>Grundlagen des Personalwesens</v>
      </c>
      <c r="C690" s="5">
        <v>46006</v>
      </c>
      <c r="D690" s="5">
        <v>46008</v>
      </c>
      <c r="E690" s="4" t="str">
        <f t="shared" si="28"/>
        <v>3 Tage</v>
      </c>
      <c r="F690" s="17">
        <v>670</v>
      </c>
      <c r="G690" s="4" t="s">
        <v>18</v>
      </c>
      <c r="H690" s="4" t="s">
        <v>11</v>
      </c>
    </row>
    <row r="691" spans="1:8" x14ac:dyDescent="0.2">
      <c r="A691" s="4" t="str">
        <f>"08.314/001/2025"</f>
        <v>08.314/001/2025</v>
      </c>
      <c r="B691" s="4" t="str">
        <f>"Personalaktenrecht und Personalaktenverwaltung"</f>
        <v>Personalaktenrecht und Personalaktenverwaltung</v>
      </c>
      <c r="C691" s="5">
        <v>45917</v>
      </c>
      <c r="D691" s="5">
        <v>45917</v>
      </c>
      <c r="E691" s="4" t="str">
        <f>"1 Tag"</f>
        <v>1 Tag</v>
      </c>
      <c r="F691" s="17">
        <v>190</v>
      </c>
      <c r="G691" s="4" t="s">
        <v>14</v>
      </c>
      <c r="H691" s="4" t="s">
        <v>11</v>
      </c>
    </row>
    <row r="692" spans="1:8" x14ac:dyDescent="0.2">
      <c r="A692" s="4" t="str">
        <f>"08.320/001/2025"</f>
        <v>08.320/001/2025</v>
      </c>
      <c r="B692" s="4" t="str">
        <f>"Reisekostenrecht - Einführung"</f>
        <v>Reisekostenrecht - Einführung</v>
      </c>
      <c r="C692" s="5">
        <v>45854</v>
      </c>
      <c r="D692" s="5">
        <v>45856</v>
      </c>
      <c r="E692" s="4" t="str">
        <f>"3 Tage"</f>
        <v>3 Tage</v>
      </c>
      <c r="F692" s="17">
        <v>720</v>
      </c>
      <c r="G692" s="4" t="s">
        <v>14</v>
      </c>
      <c r="H692" s="4" t="s">
        <v>11</v>
      </c>
    </row>
    <row r="693" spans="1:8" x14ac:dyDescent="0.2">
      <c r="A693" s="4" t="str">
        <f>"08.320/002/2025"</f>
        <v>08.320/002/2025</v>
      </c>
      <c r="B693" s="4" t="str">
        <f>"Reisekostenrecht - Einführung"</f>
        <v>Reisekostenrecht - Einführung</v>
      </c>
      <c r="C693" s="5">
        <v>45987</v>
      </c>
      <c r="D693" s="5">
        <v>45989</v>
      </c>
      <c r="E693" s="4" t="str">
        <f>"3 Tage"</f>
        <v>3 Tage</v>
      </c>
      <c r="F693" s="17">
        <v>720</v>
      </c>
      <c r="G693" s="4" t="s">
        <v>14</v>
      </c>
      <c r="H693" s="4" t="s">
        <v>11</v>
      </c>
    </row>
    <row r="694" spans="1:8" x14ac:dyDescent="0.2">
      <c r="A694" s="4" t="str">
        <f>"08.322/001/2025"</f>
        <v>08.322/001/2025</v>
      </c>
      <c r="B694" s="4" t="str">
        <f>"Reisekostenrecht - Workshop"</f>
        <v>Reisekostenrecht - Workshop</v>
      </c>
      <c r="C694" s="5">
        <v>45673</v>
      </c>
      <c r="D694" s="5">
        <v>45674</v>
      </c>
      <c r="E694" s="4" t="str">
        <f>"2 Tage"</f>
        <v>2 Tage</v>
      </c>
      <c r="F694" s="17">
        <v>430</v>
      </c>
      <c r="G694" s="4" t="s">
        <v>14</v>
      </c>
      <c r="H694" s="4" t="s">
        <v>11</v>
      </c>
    </row>
    <row r="695" spans="1:8" x14ac:dyDescent="0.2">
      <c r="A695" s="4" t="str">
        <f>"08.322/002/2025"</f>
        <v>08.322/002/2025</v>
      </c>
      <c r="B695" s="4" t="str">
        <f>"Reisekostenrecht - Workshop"</f>
        <v>Reisekostenrecht - Workshop</v>
      </c>
      <c r="C695" s="5">
        <v>45904</v>
      </c>
      <c r="D695" s="5">
        <v>45905</v>
      </c>
      <c r="E695" s="4" t="str">
        <f>"2 Tage"</f>
        <v>2 Tage</v>
      </c>
      <c r="F695" s="17">
        <v>430</v>
      </c>
      <c r="G695" s="4" t="s">
        <v>14</v>
      </c>
      <c r="H695" s="4" t="s">
        <v>11</v>
      </c>
    </row>
    <row r="696" spans="1:8" x14ac:dyDescent="0.2">
      <c r="A696" s="4" t="str">
        <f>"08.322/003/2025"</f>
        <v>08.322/003/2025</v>
      </c>
      <c r="B696" s="4" t="str">
        <f>"Reisekostenrecht - Workshop"</f>
        <v>Reisekostenrecht - Workshop</v>
      </c>
      <c r="C696" s="5">
        <v>45994</v>
      </c>
      <c r="D696" s="5">
        <v>45995</v>
      </c>
      <c r="E696" s="4" t="str">
        <f>"2 Tage"</f>
        <v>2 Tage</v>
      </c>
      <c r="F696" s="17">
        <v>430</v>
      </c>
      <c r="G696" s="4" t="s">
        <v>14</v>
      </c>
      <c r="H696" s="4" t="s">
        <v>11</v>
      </c>
    </row>
    <row r="697" spans="1:8" x14ac:dyDescent="0.2">
      <c r="A697" s="4" t="str">
        <f>"08.324/001/2025"</f>
        <v>08.324/001/2025</v>
      </c>
      <c r="B697" s="4" t="str">
        <f>"Trennungsentschädigungsrecht - Einführung"</f>
        <v>Trennungsentschädigungsrecht - Einführung</v>
      </c>
      <c r="C697" s="5">
        <v>45679</v>
      </c>
      <c r="D697" s="5">
        <v>45681</v>
      </c>
      <c r="E697" s="4" t="str">
        <f>"3 Tage"</f>
        <v>3 Tage</v>
      </c>
      <c r="F697" s="17">
        <v>670</v>
      </c>
      <c r="G697" s="4" t="s">
        <v>14</v>
      </c>
      <c r="H697" s="4" t="s">
        <v>11</v>
      </c>
    </row>
    <row r="698" spans="1:8" x14ac:dyDescent="0.2">
      <c r="A698" s="4" t="str">
        <f>"08.324/002/2025"</f>
        <v>08.324/002/2025</v>
      </c>
      <c r="B698" s="4" t="str">
        <f>"Trennungsentschädigungsrecht - Einführung"</f>
        <v>Trennungsentschädigungsrecht - Einführung</v>
      </c>
      <c r="C698" s="5">
        <v>45783</v>
      </c>
      <c r="D698" s="5">
        <v>45785</v>
      </c>
      <c r="E698" s="4" t="str">
        <f>"3 Tage"</f>
        <v>3 Tage</v>
      </c>
      <c r="F698" s="17">
        <v>670</v>
      </c>
      <c r="G698" s="4" t="s">
        <v>14</v>
      </c>
      <c r="H698" s="4" t="s">
        <v>11</v>
      </c>
    </row>
    <row r="699" spans="1:8" x14ac:dyDescent="0.2">
      <c r="A699" s="4" t="str">
        <f>"08.324/003/2025"</f>
        <v>08.324/003/2025</v>
      </c>
      <c r="B699" s="4" t="str">
        <f>"Trennungsentschädigungsrecht - Einführung"</f>
        <v>Trennungsentschädigungsrecht - Einführung</v>
      </c>
      <c r="C699" s="5">
        <v>45944</v>
      </c>
      <c r="D699" s="5">
        <v>45946</v>
      </c>
      <c r="E699" s="4" t="str">
        <f>"3 Tage"</f>
        <v>3 Tage</v>
      </c>
      <c r="F699" s="17">
        <v>670</v>
      </c>
      <c r="G699" s="4" t="s">
        <v>14</v>
      </c>
      <c r="H699" s="4" t="s">
        <v>11</v>
      </c>
    </row>
    <row r="700" spans="1:8" x14ac:dyDescent="0.2">
      <c r="A700" s="4" t="str">
        <f>"08.327/001/2025"</f>
        <v>08.327/001/2025</v>
      </c>
      <c r="B700" s="4" t="str">
        <f>"Workshop zum Thema Reisekosten/Trennungsentschädigung für Auszubildende und Anwärter/Referendare"</f>
        <v>Workshop zum Thema Reisekosten/Trennungsentschädigung für Auszubildende und Anwärter/Referendare</v>
      </c>
      <c r="C700" s="5">
        <v>45764</v>
      </c>
      <c r="D700" s="5">
        <v>45764</v>
      </c>
      <c r="E700" s="4" t="str">
        <f>"1 Tag"</f>
        <v>1 Tag</v>
      </c>
      <c r="F700" s="17">
        <v>190</v>
      </c>
      <c r="G700" s="4" t="s">
        <v>17</v>
      </c>
      <c r="H700" s="4" t="s">
        <v>11</v>
      </c>
    </row>
    <row r="701" spans="1:8" x14ac:dyDescent="0.2">
      <c r="A701" s="4" t="str">
        <f>"08.330/001/2025"</f>
        <v>08.330/001/2025</v>
      </c>
      <c r="B701" s="4" t="str">
        <f t="shared" ref="B701:B706" si="29">"LPVG NRW - Einführung"</f>
        <v>LPVG NRW - Einführung</v>
      </c>
      <c r="C701" s="5">
        <v>45670</v>
      </c>
      <c r="D701" s="5">
        <v>45672</v>
      </c>
      <c r="E701" s="4" t="str">
        <f t="shared" ref="E701:E706" si="30">"3 Tage"</f>
        <v>3 Tage</v>
      </c>
      <c r="F701" s="17">
        <v>670</v>
      </c>
      <c r="G701" s="4" t="s">
        <v>14</v>
      </c>
      <c r="H701" s="4" t="s">
        <v>11</v>
      </c>
    </row>
    <row r="702" spans="1:8" x14ac:dyDescent="0.2">
      <c r="A702" s="4" t="str">
        <f>"08.330/002/2025"</f>
        <v>08.330/002/2025</v>
      </c>
      <c r="B702" s="4" t="str">
        <f t="shared" si="29"/>
        <v>LPVG NRW - Einführung</v>
      </c>
      <c r="C702" s="5">
        <v>45700</v>
      </c>
      <c r="D702" s="5">
        <v>45702</v>
      </c>
      <c r="E702" s="4" t="str">
        <f t="shared" si="30"/>
        <v>3 Tage</v>
      </c>
      <c r="F702" s="17">
        <v>670</v>
      </c>
      <c r="G702" s="4" t="s">
        <v>14</v>
      </c>
      <c r="H702" s="4" t="s">
        <v>11</v>
      </c>
    </row>
    <row r="703" spans="1:8" x14ac:dyDescent="0.2">
      <c r="A703" s="4" t="str">
        <f>"08.330/003/2025"</f>
        <v>08.330/003/2025</v>
      </c>
      <c r="B703" s="4" t="str">
        <f t="shared" si="29"/>
        <v>LPVG NRW - Einführung</v>
      </c>
      <c r="C703" s="5">
        <v>45734</v>
      </c>
      <c r="D703" s="5">
        <v>45736</v>
      </c>
      <c r="E703" s="4" t="str">
        <f t="shared" si="30"/>
        <v>3 Tage</v>
      </c>
      <c r="F703" s="17">
        <v>670</v>
      </c>
      <c r="G703" s="4" t="s">
        <v>14</v>
      </c>
      <c r="H703" s="4" t="s">
        <v>11</v>
      </c>
    </row>
    <row r="704" spans="1:8" x14ac:dyDescent="0.2">
      <c r="A704" s="4" t="str">
        <f>"08.330/004/2025"</f>
        <v>08.330/004/2025</v>
      </c>
      <c r="B704" s="4" t="str">
        <f t="shared" si="29"/>
        <v>LPVG NRW - Einführung</v>
      </c>
      <c r="C704" s="5">
        <v>45803</v>
      </c>
      <c r="D704" s="5">
        <v>45805</v>
      </c>
      <c r="E704" s="4" t="str">
        <f t="shared" si="30"/>
        <v>3 Tage</v>
      </c>
      <c r="F704" s="17">
        <v>670</v>
      </c>
      <c r="G704" s="4" t="s">
        <v>14</v>
      </c>
      <c r="H704" s="4" t="s">
        <v>11</v>
      </c>
    </row>
    <row r="705" spans="1:8" x14ac:dyDescent="0.2">
      <c r="A705" s="4" t="str">
        <f>"08.330/005/2025"</f>
        <v>08.330/005/2025</v>
      </c>
      <c r="B705" s="4" t="str">
        <f t="shared" si="29"/>
        <v>LPVG NRW - Einführung</v>
      </c>
      <c r="C705" s="5">
        <v>45936</v>
      </c>
      <c r="D705" s="5">
        <v>45938</v>
      </c>
      <c r="E705" s="4" t="str">
        <f t="shared" si="30"/>
        <v>3 Tage</v>
      </c>
      <c r="F705" s="17">
        <v>670</v>
      </c>
      <c r="G705" s="4" t="s">
        <v>14</v>
      </c>
      <c r="H705" s="4" t="s">
        <v>11</v>
      </c>
    </row>
    <row r="706" spans="1:8" x14ac:dyDescent="0.2">
      <c r="A706" s="4" t="str">
        <f>"08.330/006/2025"</f>
        <v>08.330/006/2025</v>
      </c>
      <c r="B706" s="4" t="str">
        <f t="shared" si="29"/>
        <v>LPVG NRW - Einführung</v>
      </c>
      <c r="C706" s="5">
        <v>45964</v>
      </c>
      <c r="D706" s="5">
        <v>45966</v>
      </c>
      <c r="E706" s="4" t="str">
        <f t="shared" si="30"/>
        <v>3 Tage</v>
      </c>
      <c r="F706" s="17">
        <v>670</v>
      </c>
      <c r="G706" s="4" t="s">
        <v>14</v>
      </c>
      <c r="H706" s="4" t="s">
        <v>11</v>
      </c>
    </row>
    <row r="707" spans="1:8" x14ac:dyDescent="0.2">
      <c r="A707" s="4" t="str">
        <f>"08.332/001/2025"</f>
        <v>08.332/001/2025</v>
      </c>
      <c r="B707" s="4" t="str">
        <f>"LPVG NRW Spezial - Mitbestimmung, Mitwirkung, Anhörung"</f>
        <v>LPVG NRW Spezial - Mitbestimmung, Mitwirkung, Anhörung</v>
      </c>
      <c r="C707" s="5">
        <v>45785</v>
      </c>
      <c r="D707" s="5">
        <v>45786</v>
      </c>
      <c r="E707" s="4" t="str">
        <f>"2 Tage"</f>
        <v>2 Tage</v>
      </c>
      <c r="F707" s="17">
        <v>430</v>
      </c>
      <c r="G707" s="4" t="s">
        <v>14</v>
      </c>
      <c r="H707" s="4" t="s">
        <v>11</v>
      </c>
    </row>
    <row r="708" spans="1:8" x14ac:dyDescent="0.2">
      <c r="A708" s="4" t="str">
        <f>"08.332/002/2025"</f>
        <v>08.332/002/2025</v>
      </c>
      <c r="B708" s="4" t="str">
        <f>"LPVG NRW Spezial - Mitbestimmung, Mitwirkung, Anhörung"</f>
        <v>LPVG NRW Spezial - Mitbestimmung, Mitwirkung, Anhörung</v>
      </c>
      <c r="C708" s="5">
        <v>45894</v>
      </c>
      <c r="D708" s="5">
        <v>45895</v>
      </c>
      <c r="E708" s="4" t="str">
        <f>"2 Tage"</f>
        <v>2 Tage</v>
      </c>
      <c r="F708" s="17">
        <v>430</v>
      </c>
      <c r="G708" s="4" t="s">
        <v>14</v>
      </c>
      <c r="H708" s="4" t="s">
        <v>11</v>
      </c>
    </row>
    <row r="709" spans="1:8" x14ac:dyDescent="0.2">
      <c r="A709" s="4" t="str">
        <f>"08.334/001/2025"</f>
        <v>08.334/001/2025</v>
      </c>
      <c r="B709" s="4" t="str">
        <f>"LPVG NRW - Workshop"</f>
        <v>LPVG NRW - Workshop</v>
      </c>
      <c r="C709" s="5">
        <v>45666</v>
      </c>
      <c r="D709" s="5">
        <v>45667</v>
      </c>
      <c r="E709" s="4" t="str">
        <f>"2 Tage"</f>
        <v>2 Tage</v>
      </c>
      <c r="F709" s="17">
        <v>430</v>
      </c>
      <c r="G709" s="4" t="s">
        <v>14</v>
      </c>
      <c r="H709" s="4" t="s">
        <v>11</v>
      </c>
    </row>
    <row r="710" spans="1:8" x14ac:dyDescent="0.2">
      <c r="A710" s="4" t="str">
        <f>"08.334/002/2025"</f>
        <v>08.334/002/2025</v>
      </c>
      <c r="B710" s="4" t="str">
        <f>"LPVG NRW - Workshop"</f>
        <v>LPVG NRW - Workshop</v>
      </c>
      <c r="C710" s="5">
        <v>45999</v>
      </c>
      <c r="D710" s="5">
        <v>46000</v>
      </c>
      <c r="E710" s="4" t="str">
        <f>"2 Tage"</f>
        <v>2 Tage</v>
      </c>
      <c r="F710" s="17">
        <v>430</v>
      </c>
      <c r="G710" s="4" t="s">
        <v>14</v>
      </c>
      <c r="H710" s="4" t="s">
        <v>11</v>
      </c>
    </row>
    <row r="711" spans="1:8" x14ac:dyDescent="0.2">
      <c r="A711" s="4" t="str">
        <f>"08.340/001/2025"</f>
        <v>08.340/001/2025</v>
      </c>
      <c r="B711" s="4" t="str">
        <f>"Aufgaben der Vertrauenspersonen und Beauftragten des Arbeitgebers für schwerbehinderte Beschäftigte in der Landesverwaltung - Grundlagen"</f>
        <v>Aufgaben der Vertrauenspersonen und Beauftragten des Arbeitgebers für schwerbehinderte Beschäftigte in der Landesverwaltung - Grundlagen</v>
      </c>
      <c r="C711" s="5">
        <v>45742</v>
      </c>
      <c r="D711" s="5">
        <v>45744</v>
      </c>
      <c r="E711" s="4" t="str">
        <f>"3 Tage"</f>
        <v>3 Tage</v>
      </c>
      <c r="F711" s="17">
        <v>770</v>
      </c>
      <c r="G711" s="4" t="s">
        <v>14</v>
      </c>
      <c r="H711" s="4" t="s">
        <v>11</v>
      </c>
    </row>
    <row r="712" spans="1:8" x14ac:dyDescent="0.2">
      <c r="A712" s="4" t="str">
        <f>"08.342/001/2025"</f>
        <v>08.342/001/2025</v>
      </c>
      <c r="B712" s="4" t="str">
        <f>"Inklusion - SGB IX für alle Führungskräfte und die Beschäftigten in Personalstellen"</f>
        <v>Inklusion - SGB IX für alle Führungskräfte und die Beschäftigten in Personalstellen</v>
      </c>
      <c r="C712" s="5">
        <v>45721</v>
      </c>
      <c r="D712" s="5">
        <v>45722</v>
      </c>
      <c r="E712" s="4" t="str">
        <f>"2 Tage"</f>
        <v>2 Tage</v>
      </c>
      <c r="F712" s="17">
        <v>670</v>
      </c>
      <c r="G712" s="4" t="s">
        <v>14</v>
      </c>
      <c r="H712" s="4" t="s">
        <v>11</v>
      </c>
    </row>
    <row r="713" spans="1:8" x14ac:dyDescent="0.2">
      <c r="A713" s="4" t="str">
        <f>"08.344/001/2025"</f>
        <v>08.344/001/2025</v>
      </c>
      <c r="B713" s="4" t="str">
        <f>"Aktuelle Fragen zum Schwerbehindertenrecht"</f>
        <v>Aktuelle Fragen zum Schwerbehindertenrecht</v>
      </c>
      <c r="C713" s="5">
        <v>45782</v>
      </c>
      <c r="D713" s="5">
        <v>45784</v>
      </c>
      <c r="E713" s="4" t="str">
        <f>"3 Tage"</f>
        <v>3 Tage</v>
      </c>
      <c r="F713" s="17">
        <v>980</v>
      </c>
      <c r="G713" s="4" t="s">
        <v>14</v>
      </c>
      <c r="H713" s="4" t="s">
        <v>11</v>
      </c>
    </row>
    <row r="714" spans="1:8" x14ac:dyDescent="0.2">
      <c r="A714" s="4" t="str">
        <f>"08.346/001/2025"</f>
        <v>08.346/001/2025</v>
      </c>
      <c r="B714" s="4" t="str">
        <f>"Fallberatung und Supervision - Vertrauenspersonen für schwerbehinderte Beschäftigte"</f>
        <v>Fallberatung und Supervision - Vertrauenspersonen für schwerbehinderte Beschäftigte</v>
      </c>
      <c r="C714" s="5">
        <v>45971</v>
      </c>
      <c r="D714" s="5">
        <v>45973</v>
      </c>
      <c r="E714" s="4" t="str">
        <f>"3 Tage"</f>
        <v>3 Tage</v>
      </c>
      <c r="F714" s="17">
        <v>630</v>
      </c>
      <c r="G714" s="4" t="s">
        <v>14</v>
      </c>
      <c r="H714" s="4" t="s">
        <v>11</v>
      </c>
    </row>
    <row r="715" spans="1:8" x14ac:dyDescent="0.2">
      <c r="A715" s="4" t="str">
        <f>"08.348/001/2025"</f>
        <v>08.348/001/2025</v>
      </c>
      <c r="B715" s="4" t="str">
        <f>"Rechte und Pflichten schwerbehinderter Beschäftigter in der Landesverwaltung"</f>
        <v>Rechte und Pflichten schwerbehinderter Beschäftigter in der Landesverwaltung</v>
      </c>
      <c r="C715" s="5">
        <v>46001</v>
      </c>
      <c r="D715" s="5">
        <v>46003</v>
      </c>
      <c r="E715" s="4" t="str">
        <f>"3 Tage"</f>
        <v>3 Tage</v>
      </c>
      <c r="F715" s="17">
        <v>670</v>
      </c>
      <c r="G715" s="4" t="s">
        <v>14</v>
      </c>
      <c r="H715" s="4" t="s">
        <v>11</v>
      </c>
    </row>
    <row r="716" spans="1:8" x14ac:dyDescent="0.2">
      <c r="A716" s="4" t="str">
        <f>"08.350/001/2025"</f>
        <v>08.350/001/2025</v>
      </c>
      <c r="B716" s="4" t="str">
        <f>"Datenschutzrechtliche Aspekte in der Schwerbehindertenvertretung (SBV)"</f>
        <v>Datenschutzrechtliche Aspekte in der Schwerbehindertenvertretung (SBV)</v>
      </c>
      <c r="C716" s="5">
        <v>45870</v>
      </c>
      <c r="D716" s="5">
        <v>45870</v>
      </c>
      <c r="E716" s="4" t="str">
        <f>"1 Tag"</f>
        <v>1 Tag</v>
      </c>
      <c r="F716" s="17">
        <v>190</v>
      </c>
      <c r="G716" s="4" t="s">
        <v>14</v>
      </c>
      <c r="H716" s="4" t="s">
        <v>11</v>
      </c>
    </row>
    <row r="717" spans="1:8" x14ac:dyDescent="0.2">
      <c r="A717" s="4" t="str">
        <f>"08.352/001/2025"</f>
        <v>08.352/001/2025</v>
      </c>
      <c r="B717" s="4" t="str">
        <f>"Workshop: Schwerbehindertenrecht"</f>
        <v>Workshop: Schwerbehindertenrecht</v>
      </c>
      <c r="C717" s="5">
        <v>45838</v>
      </c>
      <c r="D717" s="5">
        <v>45838</v>
      </c>
      <c r="E717" s="4" t="str">
        <f>"1 Tag"</f>
        <v>1 Tag</v>
      </c>
      <c r="F717" s="17">
        <v>190</v>
      </c>
      <c r="G717" s="4" t="s">
        <v>14</v>
      </c>
      <c r="H717" s="4" t="s">
        <v>11</v>
      </c>
    </row>
    <row r="718" spans="1:8" x14ac:dyDescent="0.2">
      <c r="A718" s="4" t="str">
        <f>"08.410/001/2025"</f>
        <v>08.410/001/2025</v>
      </c>
      <c r="B718" s="4" t="str">
        <f>"Haushaltsrecht - Einführung - Kameralistik"</f>
        <v>Haushaltsrecht - Einführung - Kameralistik</v>
      </c>
      <c r="C718" s="5">
        <v>45672</v>
      </c>
      <c r="D718" s="5">
        <v>45674</v>
      </c>
      <c r="E718" s="4" t="str">
        <f>"3 Tage"</f>
        <v>3 Tage</v>
      </c>
      <c r="F718" s="17">
        <v>670</v>
      </c>
      <c r="G718" s="4" t="s">
        <v>14</v>
      </c>
      <c r="H718" s="4" t="s">
        <v>11</v>
      </c>
    </row>
    <row r="719" spans="1:8" x14ac:dyDescent="0.2">
      <c r="A719" s="4" t="str">
        <f>"08.410/002/2025"</f>
        <v>08.410/002/2025</v>
      </c>
      <c r="B719" s="4" t="str">
        <f>"Haushaltsrecht - Einführung - Kameralistik"</f>
        <v>Haushaltsrecht - Einführung - Kameralistik</v>
      </c>
      <c r="C719" s="5">
        <v>45740</v>
      </c>
      <c r="D719" s="5">
        <v>45742</v>
      </c>
      <c r="E719" s="4" t="str">
        <f>"3 Tage"</f>
        <v>3 Tage</v>
      </c>
      <c r="F719" s="17">
        <v>670</v>
      </c>
      <c r="G719" s="4" t="s">
        <v>14</v>
      </c>
      <c r="H719" s="4" t="s">
        <v>11</v>
      </c>
    </row>
    <row r="720" spans="1:8" x14ac:dyDescent="0.2">
      <c r="A720" s="4" t="str">
        <f>"08.410/003/2025"</f>
        <v>08.410/003/2025</v>
      </c>
      <c r="B720" s="4" t="str">
        <f>"Haushaltsrecht - Einführung - Kameralistik"</f>
        <v>Haushaltsrecht - Einführung - Kameralistik</v>
      </c>
      <c r="C720" s="5">
        <v>45845</v>
      </c>
      <c r="D720" s="5">
        <v>45847</v>
      </c>
      <c r="E720" s="4" t="str">
        <f>"3 Tage"</f>
        <v>3 Tage</v>
      </c>
      <c r="F720" s="17">
        <v>670</v>
      </c>
      <c r="G720" s="4" t="s">
        <v>14</v>
      </c>
      <c r="H720" s="4" t="s">
        <v>11</v>
      </c>
    </row>
    <row r="721" spans="1:8" x14ac:dyDescent="0.2">
      <c r="A721" s="4" t="str">
        <f>"08.410/004/2025"</f>
        <v>08.410/004/2025</v>
      </c>
      <c r="B721" s="4" t="str">
        <f>"Haushaltsrecht - Einführung - Kameralistik"</f>
        <v>Haushaltsrecht - Einführung - Kameralistik</v>
      </c>
      <c r="C721" s="5">
        <v>45999</v>
      </c>
      <c r="D721" s="5">
        <v>46001</v>
      </c>
      <c r="E721" s="4" t="str">
        <f>"3 Tage"</f>
        <v>3 Tage</v>
      </c>
      <c r="F721" s="17">
        <v>670</v>
      </c>
      <c r="G721" s="4" t="s">
        <v>14</v>
      </c>
      <c r="H721" s="4" t="s">
        <v>11</v>
      </c>
    </row>
    <row r="722" spans="1:8" x14ac:dyDescent="0.2">
      <c r="A722" s="4" t="str">
        <f>"08.411/001/2025"</f>
        <v>08.411/001/2025</v>
      </c>
      <c r="B722" s="4" t="str">
        <f>"Stellenplanbewirtschaftung"</f>
        <v>Stellenplanbewirtschaftung</v>
      </c>
      <c r="C722" s="5">
        <v>45947</v>
      </c>
      <c r="D722" s="5">
        <v>45947</v>
      </c>
      <c r="E722" s="4" t="str">
        <f>"1 Tag"</f>
        <v>1 Tag</v>
      </c>
      <c r="F722" s="17">
        <v>190</v>
      </c>
      <c r="G722" s="4" t="s">
        <v>14</v>
      </c>
      <c r="H722" s="4" t="s">
        <v>11</v>
      </c>
    </row>
    <row r="723" spans="1:8" x14ac:dyDescent="0.2">
      <c r="A723" s="4" t="str">
        <f>"08.414/001/2025"</f>
        <v>08.414/001/2025</v>
      </c>
      <c r="B723" s="4" t="str">
        <f>"Haushaltsrechtliche Grundlagen in Phase II von EPOS.NRW"</f>
        <v>Haushaltsrechtliche Grundlagen in Phase II von EPOS.NRW</v>
      </c>
      <c r="C723" s="5">
        <v>45824</v>
      </c>
      <c r="D723" s="5">
        <v>45826</v>
      </c>
      <c r="E723" s="4" t="str">
        <f t="shared" ref="E723:E738" si="31">"3 Tage"</f>
        <v>3 Tage</v>
      </c>
      <c r="F723" s="17">
        <v>670</v>
      </c>
      <c r="G723" s="4" t="s">
        <v>14</v>
      </c>
      <c r="H723" s="4" t="s">
        <v>11</v>
      </c>
    </row>
    <row r="724" spans="1:8" x14ac:dyDescent="0.2">
      <c r="A724" s="4" t="str">
        <f>"08.414/002/2025"</f>
        <v>08.414/002/2025</v>
      </c>
      <c r="B724" s="4" t="str">
        <f>"Haushaltsrechtliche Grundlagen in Phase II von EPOS.NRW"</f>
        <v>Haushaltsrechtliche Grundlagen in Phase II von EPOS.NRW</v>
      </c>
      <c r="C724" s="5">
        <v>45861</v>
      </c>
      <c r="D724" s="5">
        <v>45863</v>
      </c>
      <c r="E724" s="4" t="str">
        <f t="shared" si="31"/>
        <v>3 Tage</v>
      </c>
      <c r="F724" s="17">
        <v>670</v>
      </c>
      <c r="G724" s="4" t="s">
        <v>14</v>
      </c>
      <c r="H724" s="4" t="s">
        <v>11</v>
      </c>
    </row>
    <row r="725" spans="1:8" x14ac:dyDescent="0.2">
      <c r="A725" s="4" t="str">
        <f>"08.416/001/2025"</f>
        <v>08.416/001/2025</v>
      </c>
      <c r="B725" s="4" t="str">
        <f t="shared" ref="B725:B736" si="32">"Der Wandel des Haushaltsrechts - von der Kameralistik zu EPOS.NRW"</f>
        <v>Der Wandel des Haushaltsrechts - von der Kameralistik zu EPOS.NRW</v>
      </c>
      <c r="C725" s="5">
        <v>45677</v>
      </c>
      <c r="D725" s="5">
        <v>45679</v>
      </c>
      <c r="E725" s="4" t="str">
        <f t="shared" si="31"/>
        <v>3 Tage</v>
      </c>
      <c r="F725" s="17">
        <v>670</v>
      </c>
      <c r="G725" s="4" t="s">
        <v>18</v>
      </c>
      <c r="H725" s="4" t="s">
        <v>11</v>
      </c>
    </row>
    <row r="726" spans="1:8" x14ac:dyDescent="0.2">
      <c r="A726" s="4" t="str">
        <f>"08.416/002/2025"</f>
        <v>08.416/002/2025</v>
      </c>
      <c r="B726" s="4" t="str">
        <f t="shared" si="32"/>
        <v>Der Wandel des Haushaltsrechts - von der Kameralistik zu EPOS.NRW</v>
      </c>
      <c r="C726" s="5">
        <v>45684</v>
      </c>
      <c r="D726" s="5">
        <v>45686</v>
      </c>
      <c r="E726" s="4" t="str">
        <f t="shared" si="31"/>
        <v>3 Tage</v>
      </c>
      <c r="F726" s="17">
        <v>670</v>
      </c>
      <c r="G726" s="4" t="s">
        <v>18</v>
      </c>
      <c r="H726" s="4" t="s">
        <v>11</v>
      </c>
    </row>
    <row r="727" spans="1:8" x14ac:dyDescent="0.2">
      <c r="A727" s="4" t="str">
        <f>"08.416/003/2025"</f>
        <v>08.416/003/2025</v>
      </c>
      <c r="B727" s="4" t="str">
        <f t="shared" si="32"/>
        <v>Der Wandel des Haushaltsrechts - von der Kameralistik zu EPOS.NRW</v>
      </c>
      <c r="C727" s="5">
        <v>45691</v>
      </c>
      <c r="D727" s="5">
        <v>45693</v>
      </c>
      <c r="E727" s="4" t="str">
        <f t="shared" si="31"/>
        <v>3 Tage</v>
      </c>
      <c r="F727" s="17">
        <v>670</v>
      </c>
      <c r="G727" s="4" t="s">
        <v>18</v>
      </c>
      <c r="H727" s="4" t="s">
        <v>11</v>
      </c>
    </row>
    <row r="728" spans="1:8" x14ac:dyDescent="0.2">
      <c r="A728" s="4" t="str">
        <f>"08.416/004/2025"</f>
        <v>08.416/004/2025</v>
      </c>
      <c r="B728" s="4" t="str">
        <f t="shared" si="32"/>
        <v>Der Wandel des Haushaltsrechts - von der Kameralistik zu EPOS.NRW</v>
      </c>
      <c r="C728" s="5">
        <v>45698</v>
      </c>
      <c r="D728" s="5">
        <v>45700</v>
      </c>
      <c r="E728" s="4" t="str">
        <f t="shared" si="31"/>
        <v>3 Tage</v>
      </c>
      <c r="F728" s="17">
        <v>670</v>
      </c>
      <c r="G728" s="4" t="s">
        <v>18</v>
      </c>
      <c r="H728" s="4" t="s">
        <v>11</v>
      </c>
    </row>
    <row r="729" spans="1:8" x14ac:dyDescent="0.2">
      <c r="A729" s="4" t="str">
        <f>"08.416/005/2025"</f>
        <v>08.416/005/2025</v>
      </c>
      <c r="B729" s="4" t="str">
        <f t="shared" si="32"/>
        <v>Der Wandel des Haushaltsrechts - von der Kameralistik zu EPOS.NRW</v>
      </c>
      <c r="C729" s="5">
        <v>45706</v>
      </c>
      <c r="D729" s="5">
        <v>45708</v>
      </c>
      <c r="E729" s="4" t="str">
        <f t="shared" si="31"/>
        <v>3 Tage</v>
      </c>
      <c r="F729" s="17">
        <v>670</v>
      </c>
      <c r="G729" s="4" t="s">
        <v>18</v>
      </c>
      <c r="H729" s="4" t="s">
        <v>11</v>
      </c>
    </row>
    <row r="730" spans="1:8" x14ac:dyDescent="0.2">
      <c r="A730" s="4" t="str">
        <f>"08.416/006/2025"</f>
        <v>08.416/006/2025</v>
      </c>
      <c r="B730" s="4" t="str">
        <f t="shared" si="32"/>
        <v>Der Wandel des Haushaltsrechts - von der Kameralistik zu EPOS.NRW</v>
      </c>
      <c r="C730" s="5">
        <v>45733</v>
      </c>
      <c r="D730" s="5">
        <v>45735</v>
      </c>
      <c r="E730" s="4" t="str">
        <f t="shared" si="31"/>
        <v>3 Tage</v>
      </c>
      <c r="F730" s="17">
        <v>670</v>
      </c>
      <c r="G730" s="4" t="s">
        <v>18</v>
      </c>
      <c r="H730" s="4" t="s">
        <v>11</v>
      </c>
    </row>
    <row r="731" spans="1:8" x14ac:dyDescent="0.2">
      <c r="A731" s="4" t="str">
        <f>"08.416/007/2025"</f>
        <v>08.416/007/2025</v>
      </c>
      <c r="B731" s="4" t="str">
        <f t="shared" si="32"/>
        <v>Der Wandel des Haushaltsrechts - von der Kameralistik zu EPOS.NRW</v>
      </c>
      <c r="C731" s="5">
        <v>45769</v>
      </c>
      <c r="D731" s="5">
        <v>45771</v>
      </c>
      <c r="E731" s="4" t="str">
        <f t="shared" si="31"/>
        <v>3 Tage</v>
      </c>
      <c r="F731" s="17">
        <v>670</v>
      </c>
      <c r="G731" s="4" t="s">
        <v>18</v>
      </c>
      <c r="H731" s="4" t="s">
        <v>11</v>
      </c>
    </row>
    <row r="732" spans="1:8" x14ac:dyDescent="0.2">
      <c r="A732" s="4" t="str">
        <f>"08.416/008/2025"</f>
        <v>08.416/008/2025</v>
      </c>
      <c r="B732" s="4" t="str">
        <f t="shared" si="32"/>
        <v>Der Wandel des Haushaltsrechts - von der Kameralistik zu EPOS.NRW</v>
      </c>
      <c r="C732" s="5">
        <v>45831</v>
      </c>
      <c r="D732" s="5">
        <v>45833</v>
      </c>
      <c r="E732" s="4" t="str">
        <f t="shared" si="31"/>
        <v>3 Tage</v>
      </c>
      <c r="F732" s="17">
        <v>670</v>
      </c>
      <c r="G732" s="4" t="s">
        <v>18</v>
      </c>
      <c r="H732" s="4" t="s">
        <v>11</v>
      </c>
    </row>
    <row r="733" spans="1:8" x14ac:dyDescent="0.2">
      <c r="A733" s="4" t="str">
        <f>"08.416/009/2025"</f>
        <v>08.416/009/2025</v>
      </c>
      <c r="B733" s="4" t="str">
        <f t="shared" si="32"/>
        <v>Der Wandel des Haushaltsrechts - von der Kameralistik zu EPOS.NRW</v>
      </c>
      <c r="C733" s="5">
        <v>45840</v>
      </c>
      <c r="D733" s="5">
        <v>45842</v>
      </c>
      <c r="E733" s="4" t="str">
        <f t="shared" si="31"/>
        <v>3 Tage</v>
      </c>
      <c r="F733" s="17">
        <v>670</v>
      </c>
      <c r="G733" s="4" t="s">
        <v>18</v>
      </c>
      <c r="H733" s="4" t="s">
        <v>11</v>
      </c>
    </row>
    <row r="734" spans="1:8" x14ac:dyDescent="0.2">
      <c r="A734" s="4" t="str">
        <f>"08.416/010/2025"</f>
        <v>08.416/010/2025</v>
      </c>
      <c r="B734" s="4" t="str">
        <f t="shared" si="32"/>
        <v>Der Wandel des Haushaltsrechts - von der Kameralistik zu EPOS.NRW</v>
      </c>
      <c r="C734" s="5">
        <v>45861</v>
      </c>
      <c r="D734" s="5">
        <v>45863</v>
      </c>
      <c r="E734" s="4" t="str">
        <f t="shared" si="31"/>
        <v>3 Tage</v>
      </c>
      <c r="F734" s="17">
        <v>670</v>
      </c>
      <c r="G734" s="4" t="s">
        <v>18</v>
      </c>
      <c r="H734" s="4" t="s">
        <v>11</v>
      </c>
    </row>
    <row r="735" spans="1:8" x14ac:dyDescent="0.2">
      <c r="A735" s="4" t="str">
        <f>"08.416/011/2025"</f>
        <v>08.416/011/2025</v>
      </c>
      <c r="B735" s="4" t="str">
        <f t="shared" si="32"/>
        <v>Der Wandel des Haushaltsrechts - von der Kameralistik zu EPOS.NRW</v>
      </c>
      <c r="C735" s="5">
        <v>45971</v>
      </c>
      <c r="D735" s="5">
        <v>45973</v>
      </c>
      <c r="E735" s="4" t="str">
        <f t="shared" si="31"/>
        <v>3 Tage</v>
      </c>
      <c r="F735" s="17">
        <v>670</v>
      </c>
      <c r="G735" s="4" t="s">
        <v>18</v>
      </c>
      <c r="H735" s="4" t="s">
        <v>11</v>
      </c>
    </row>
    <row r="736" spans="1:8" x14ac:dyDescent="0.2">
      <c r="A736" s="4" t="str">
        <f>"08.416/012/2025"</f>
        <v>08.416/012/2025</v>
      </c>
      <c r="B736" s="4" t="str">
        <f t="shared" si="32"/>
        <v>Der Wandel des Haushaltsrechts - von der Kameralistik zu EPOS.NRW</v>
      </c>
      <c r="C736" s="5">
        <v>46006</v>
      </c>
      <c r="D736" s="5">
        <v>46008</v>
      </c>
      <c r="E736" s="4" t="str">
        <f t="shared" si="31"/>
        <v>3 Tage</v>
      </c>
      <c r="F736" s="17">
        <v>670</v>
      </c>
      <c r="G736" s="4" t="s">
        <v>18</v>
      </c>
      <c r="H736" s="4" t="s">
        <v>11</v>
      </c>
    </row>
    <row r="737" spans="1:8" x14ac:dyDescent="0.2">
      <c r="A737" s="4" t="str">
        <f>"08.420/001/2025"</f>
        <v>08.420/001/2025</v>
      </c>
      <c r="B737" s="4" t="str">
        <f>"Haushalts- und Rechnungswesen EPOS.NRW - Grundlagen"</f>
        <v>Haushalts- und Rechnungswesen EPOS.NRW - Grundlagen</v>
      </c>
      <c r="C737" s="5">
        <v>45797</v>
      </c>
      <c r="D737" s="5">
        <v>45798</v>
      </c>
      <c r="E737" s="4" t="str">
        <f t="shared" si="31"/>
        <v>3 Tage</v>
      </c>
      <c r="F737" s="17">
        <v>670</v>
      </c>
      <c r="G737" s="4" t="s">
        <v>14</v>
      </c>
      <c r="H737" s="4" t="s">
        <v>11</v>
      </c>
    </row>
    <row r="738" spans="1:8" x14ac:dyDescent="0.2">
      <c r="A738" s="4" t="str">
        <f>"08.420/002/2025"</f>
        <v>08.420/002/2025</v>
      </c>
      <c r="B738" s="4" t="str">
        <f>"Haushalts- und Rechnungswesen EPOS.NRW - Grundlagen"</f>
        <v>Haushalts- und Rechnungswesen EPOS.NRW - Grundlagen</v>
      </c>
      <c r="C738" s="5">
        <v>45973</v>
      </c>
      <c r="D738" s="5">
        <v>45974</v>
      </c>
      <c r="E738" s="4" t="str">
        <f t="shared" si="31"/>
        <v>3 Tage</v>
      </c>
      <c r="F738" s="17">
        <v>670</v>
      </c>
      <c r="G738" s="4" t="s">
        <v>14</v>
      </c>
      <c r="H738" s="4" t="s">
        <v>11</v>
      </c>
    </row>
    <row r="739" spans="1:8" x14ac:dyDescent="0.2">
      <c r="A739" s="4" t="str">
        <f>"08.430/001/2025"</f>
        <v>08.430/001/2025</v>
      </c>
      <c r="B739" s="4" t="str">
        <f>"Öffentliche Betriebswirtschaftslehre - kompakt"</f>
        <v>Öffentliche Betriebswirtschaftslehre - kompakt</v>
      </c>
      <c r="C739" s="5">
        <v>45754</v>
      </c>
      <c r="D739" s="5">
        <v>45754</v>
      </c>
      <c r="E739" s="4" t="str">
        <f>"1 Tag"</f>
        <v>1 Tag</v>
      </c>
      <c r="F739" s="17">
        <v>190</v>
      </c>
      <c r="G739" s="4" t="s">
        <v>14</v>
      </c>
      <c r="H739" s="4" t="s">
        <v>11</v>
      </c>
    </row>
    <row r="740" spans="1:8" x14ac:dyDescent="0.2">
      <c r="A740" s="4" t="str">
        <f>"08.432/001/2025"</f>
        <v>08.432/001/2025</v>
      </c>
      <c r="B740" s="4" t="str">
        <f>"Grundlagen der Investitions- und Wirtschaftlichkeitsrechnung"</f>
        <v>Grundlagen der Investitions- und Wirtschaftlichkeitsrechnung</v>
      </c>
      <c r="C740" s="5">
        <v>45706</v>
      </c>
      <c r="D740" s="5">
        <v>45708</v>
      </c>
      <c r="E740" s="4" t="str">
        <f>"3 Tage"</f>
        <v>3 Tage</v>
      </c>
      <c r="F740" s="17">
        <v>670</v>
      </c>
      <c r="G740" s="4" t="s">
        <v>17</v>
      </c>
      <c r="H740" s="4" t="s">
        <v>11</v>
      </c>
    </row>
    <row r="741" spans="1:8" x14ac:dyDescent="0.2">
      <c r="A741" s="4" t="str">
        <f>"08.433/001/2025"</f>
        <v>08.433/001/2025</v>
      </c>
      <c r="B741" s="4" t="str">
        <f>"Investitions- und Wirtschaftlichkeitsrechnung - Vertiefungsworkshop"</f>
        <v>Investitions- und Wirtschaftlichkeitsrechnung - Vertiefungsworkshop</v>
      </c>
      <c r="C741" s="5">
        <v>45961</v>
      </c>
      <c r="D741" s="5">
        <v>45961</v>
      </c>
      <c r="E741" s="4" t="str">
        <f>"1 Tag"</f>
        <v>1 Tag</v>
      </c>
      <c r="F741" s="17">
        <v>290</v>
      </c>
      <c r="G741" s="4" t="s">
        <v>14</v>
      </c>
      <c r="H741" s="4" t="s">
        <v>11</v>
      </c>
    </row>
    <row r="742" spans="1:8" x14ac:dyDescent="0.2">
      <c r="A742" s="4" t="str">
        <f>"08.435/001/2025"</f>
        <v>08.435/001/2025</v>
      </c>
      <c r="B742" s="4" t="str">
        <f>"Wirtschaftlichkeit in der Verwaltung"</f>
        <v>Wirtschaftlichkeit in der Verwaltung</v>
      </c>
      <c r="C742" s="5">
        <v>45825</v>
      </c>
      <c r="D742" s="5">
        <v>45826</v>
      </c>
      <c r="E742" s="4" t="str">
        <f>"2 Tage"</f>
        <v>2 Tage</v>
      </c>
      <c r="F742" s="17">
        <v>430</v>
      </c>
      <c r="G742" s="4" t="s">
        <v>14</v>
      </c>
      <c r="H742" s="4" t="s">
        <v>11</v>
      </c>
    </row>
    <row r="743" spans="1:8" x14ac:dyDescent="0.2">
      <c r="A743" s="4" t="str">
        <f>"08.450/001/2025"</f>
        <v>08.450/001/2025</v>
      </c>
      <c r="B743" s="4" t="str">
        <f>"Gebührenkalkulation - Einführung"</f>
        <v>Gebührenkalkulation - Einführung</v>
      </c>
      <c r="C743" s="5">
        <v>45938</v>
      </c>
      <c r="D743" s="5">
        <v>45939</v>
      </c>
      <c r="E743" s="4" t="str">
        <f>"2 Tage"</f>
        <v>2 Tage</v>
      </c>
      <c r="F743" s="17">
        <v>560</v>
      </c>
      <c r="G743" s="4" t="s">
        <v>14</v>
      </c>
      <c r="H743" s="4" t="s">
        <v>11</v>
      </c>
    </row>
    <row r="744" spans="1:8" x14ac:dyDescent="0.2">
      <c r="A744" s="4" t="str">
        <f>"08.512/001/2025"</f>
        <v>08.512/001/2025</v>
      </c>
      <c r="B744" s="4" t="str">
        <f t="shared" ref="B744:B773" si="33">"Zuwendungsrecht - Einführung"</f>
        <v>Zuwendungsrecht - Einführung</v>
      </c>
      <c r="C744" s="5">
        <v>45672</v>
      </c>
      <c r="D744" s="5">
        <v>45695</v>
      </c>
      <c r="E744" s="4" t="str">
        <f>"1x3 Tage, 1x2 Tage"</f>
        <v>1x3 Tage, 1x2 Tage</v>
      </c>
      <c r="F744" s="17">
        <v>1100</v>
      </c>
      <c r="G744" s="4"/>
      <c r="H744" s="4" t="s">
        <v>11</v>
      </c>
    </row>
    <row r="745" spans="1:8" x14ac:dyDescent="0.2">
      <c r="A745" s="4" t="str">
        <f>"08.512/001 a/2025"</f>
        <v>08.512/001 a/2025</v>
      </c>
      <c r="B745" s="4" t="str">
        <f t="shared" si="33"/>
        <v>Zuwendungsrecht - Einführung</v>
      </c>
      <c r="C745" s="5">
        <v>45672</v>
      </c>
      <c r="D745" s="5">
        <v>45674</v>
      </c>
      <c r="E745" s="4"/>
      <c r="F745" s="17"/>
      <c r="G745" s="4" t="s">
        <v>14</v>
      </c>
      <c r="H745" s="4" t="s">
        <v>11</v>
      </c>
    </row>
    <row r="746" spans="1:8" x14ac:dyDescent="0.2">
      <c r="A746" s="4" t="str">
        <f>"08.512/001 b/2025"</f>
        <v>08.512/001 b/2025</v>
      </c>
      <c r="B746" s="4" t="str">
        <f t="shared" si="33"/>
        <v>Zuwendungsrecht - Einführung</v>
      </c>
      <c r="C746" s="5">
        <v>45694</v>
      </c>
      <c r="D746" s="5">
        <v>45695</v>
      </c>
      <c r="E746" s="4"/>
      <c r="F746" s="17"/>
      <c r="G746" s="4" t="s">
        <v>14</v>
      </c>
      <c r="H746" s="4" t="s">
        <v>11</v>
      </c>
    </row>
    <row r="747" spans="1:8" x14ac:dyDescent="0.2">
      <c r="A747" s="4" t="str">
        <f>"08.512/002/2025"</f>
        <v>08.512/002/2025</v>
      </c>
      <c r="B747" s="4" t="str">
        <f t="shared" si="33"/>
        <v>Zuwendungsrecht - Einführung</v>
      </c>
      <c r="C747" s="5">
        <v>45733</v>
      </c>
      <c r="D747" s="5">
        <v>45755</v>
      </c>
      <c r="E747" s="4" t="str">
        <f>"1x3 Tage, 1x2 Tage"</f>
        <v>1x3 Tage, 1x2 Tage</v>
      </c>
      <c r="F747" s="17">
        <v>1100</v>
      </c>
      <c r="G747" s="4"/>
      <c r="H747" s="4" t="s">
        <v>11</v>
      </c>
    </row>
    <row r="748" spans="1:8" x14ac:dyDescent="0.2">
      <c r="A748" s="4" t="str">
        <f>"08.512/002 a/2025"</f>
        <v>08.512/002 a/2025</v>
      </c>
      <c r="B748" s="4" t="str">
        <f t="shared" si="33"/>
        <v>Zuwendungsrecht - Einführung</v>
      </c>
      <c r="C748" s="5">
        <v>45733</v>
      </c>
      <c r="D748" s="5">
        <v>45735</v>
      </c>
      <c r="E748" s="4"/>
      <c r="F748" s="17"/>
      <c r="G748" s="4" t="s">
        <v>14</v>
      </c>
      <c r="H748" s="4" t="s">
        <v>11</v>
      </c>
    </row>
    <row r="749" spans="1:8" x14ac:dyDescent="0.2">
      <c r="A749" s="4" t="str">
        <f>"08.512/002 b/2025"</f>
        <v>08.512/002 b/2025</v>
      </c>
      <c r="B749" s="4" t="str">
        <f t="shared" si="33"/>
        <v>Zuwendungsrecht - Einführung</v>
      </c>
      <c r="C749" s="5">
        <v>45754</v>
      </c>
      <c r="D749" s="5">
        <v>45755</v>
      </c>
      <c r="E749" s="4"/>
      <c r="F749" s="17"/>
      <c r="G749" s="4" t="s">
        <v>14</v>
      </c>
      <c r="H749" s="4" t="s">
        <v>11</v>
      </c>
    </row>
    <row r="750" spans="1:8" x14ac:dyDescent="0.2">
      <c r="A750" s="4" t="str">
        <f>"08.512/003/2025"</f>
        <v>08.512/003/2025</v>
      </c>
      <c r="B750" s="4" t="str">
        <f t="shared" si="33"/>
        <v>Zuwendungsrecht - Einführung</v>
      </c>
      <c r="C750" s="5">
        <v>45775</v>
      </c>
      <c r="D750" s="5">
        <v>45793</v>
      </c>
      <c r="E750" s="4" t="str">
        <f>"1x3 Tage, 1x2 Tage"</f>
        <v>1x3 Tage, 1x2 Tage</v>
      </c>
      <c r="F750" s="17">
        <v>1100</v>
      </c>
      <c r="G750" s="4"/>
      <c r="H750" s="4" t="s">
        <v>11</v>
      </c>
    </row>
    <row r="751" spans="1:8" x14ac:dyDescent="0.2">
      <c r="A751" s="4" t="str">
        <f>"08.512/003 a/2025"</f>
        <v>08.512/003 a/2025</v>
      </c>
      <c r="B751" s="4" t="str">
        <f t="shared" si="33"/>
        <v>Zuwendungsrecht - Einführung</v>
      </c>
      <c r="C751" s="5">
        <v>45775</v>
      </c>
      <c r="D751" s="5">
        <v>45777</v>
      </c>
      <c r="E751" s="4"/>
      <c r="F751" s="17"/>
      <c r="G751" s="4" t="s">
        <v>14</v>
      </c>
      <c r="H751" s="4" t="s">
        <v>11</v>
      </c>
    </row>
    <row r="752" spans="1:8" x14ac:dyDescent="0.2">
      <c r="A752" s="4" t="str">
        <f>"08.512/003 b/2025"</f>
        <v>08.512/003 b/2025</v>
      </c>
      <c r="B752" s="4" t="str">
        <f t="shared" si="33"/>
        <v>Zuwendungsrecht - Einführung</v>
      </c>
      <c r="C752" s="5">
        <v>45792</v>
      </c>
      <c r="D752" s="5">
        <v>45793</v>
      </c>
      <c r="E752" s="4"/>
      <c r="F752" s="17"/>
      <c r="G752" s="4" t="s">
        <v>14</v>
      </c>
      <c r="H752" s="4" t="s">
        <v>11</v>
      </c>
    </row>
    <row r="753" spans="1:8" x14ac:dyDescent="0.2">
      <c r="A753" s="4" t="str">
        <f>"08.512/004/2025"</f>
        <v>08.512/004/2025</v>
      </c>
      <c r="B753" s="4" t="str">
        <f t="shared" si="33"/>
        <v>Zuwendungsrecht - Einführung</v>
      </c>
      <c r="C753" s="5">
        <v>45803</v>
      </c>
      <c r="D753" s="5">
        <v>45820</v>
      </c>
      <c r="E753" s="4" t="str">
        <f>"1x3 Tage, 1x2 Tage"</f>
        <v>1x3 Tage, 1x2 Tage</v>
      </c>
      <c r="F753" s="17">
        <v>1100</v>
      </c>
      <c r="G753" s="4"/>
      <c r="H753" s="4" t="s">
        <v>11</v>
      </c>
    </row>
    <row r="754" spans="1:8" x14ac:dyDescent="0.2">
      <c r="A754" s="4" t="str">
        <f>"08.512/004 a/2025"</f>
        <v>08.512/004 a/2025</v>
      </c>
      <c r="B754" s="4" t="str">
        <f t="shared" si="33"/>
        <v>Zuwendungsrecht - Einführung</v>
      </c>
      <c r="C754" s="5">
        <v>45803</v>
      </c>
      <c r="D754" s="5">
        <v>45805</v>
      </c>
      <c r="E754" s="4"/>
      <c r="F754" s="17"/>
      <c r="G754" s="4" t="s">
        <v>14</v>
      </c>
      <c r="H754" s="4" t="s">
        <v>11</v>
      </c>
    </row>
    <row r="755" spans="1:8" x14ac:dyDescent="0.2">
      <c r="A755" s="4" t="str">
        <f>"08.512/004 b/2025"</f>
        <v>08.512/004 b/2025</v>
      </c>
      <c r="B755" s="4" t="str">
        <f t="shared" si="33"/>
        <v>Zuwendungsrecht - Einführung</v>
      </c>
      <c r="C755" s="5">
        <v>45819</v>
      </c>
      <c r="D755" s="5">
        <v>45820</v>
      </c>
      <c r="E755" s="4"/>
      <c r="F755" s="17"/>
      <c r="G755" s="4" t="s">
        <v>14</v>
      </c>
      <c r="H755" s="4" t="s">
        <v>11</v>
      </c>
    </row>
    <row r="756" spans="1:8" x14ac:dyDescent="0.2">
      <c r="A756" s="4" t="str">
        <f>"08.512/005/2025"</f>
        <v>08.512/005/2025</v>
      </c>
      <c r="B756" s="4" t="str">
        <f t="shared" si="33"/>
        <v>Zuwendungsrecht - Einführung</v>
      </c>
      <c r="C756" s="5">
        <v>45833</v>
      </c>
      <c r="D756" s="5">
        <v>45861</v>
      </c>
      <c r="E756" s="4" t="str">
        <f>"1x3 Tage, 1x2 Tage"</f>
        <v>1x3 Tage, 1x2 Tage</v>
      </c>
      <c r="F756" s="17">
        <v>1100</v>
      </c>
      <c r="G756" s="4"/>
      <c r="H756" s="4" t="s">
        <v>11</v>
      </c>
    </row>
    <row r="757" spans="1:8" x14ac:dyDescent="0.2">
      <c r="A757" s="4" t="str">
        <f>"08.512/005 a/2025"</f>
        <v>08.512/005 a/2025</v>
      </c>
      <c r="B757" s="4" t="str">
        <f t="shared" si="33"/>
        <v>Zuwendungsrecht - Einführung</v>
      </c>
      <c r="C757" s="5">
        <v>45833</v>
      </c>
      <c r="D757" s="5">
        <v>45835</v>
      </c>
      <c r="E757" s="4"/>
      <c r="F757" s="17"/>
      <c r="G757" s="4" t="s">
        <v>14</v>
      </c>
      <c r="H757" s="4" t="s">
        <v>11</v>
      </c>
    </row>
    <row r="758" spans="1:8" x14ac:dyDescent="0.2">
      <c r="A758" s="4" t="str">
        <f>"08.512/005 b/2025"</f>
        <v>08.512/005 b/2025</v>
      </c>
      <c r="B758" s="4" t="str">
        <f t="shared" si="33"/>
        <v>Zuwendungsrecht - Einführung</v>
      </c>
      <c r="C758" s="5">
        <v>45860</v>
      </c>
      <c r="D758" s="5">
        <v>45861</v>
      </c>
      <c r="E758" s="4"/>
      <c r="F758" s="17"/>
      <c r="G758" s="4" t="s">
        <v>14</v>
      </c>
      <c r="H758" s="4" t="s">
        <v>11</v>
      </c>
    </row>
    <row r="759" spans="1:8" x14ac:dyDescent="0.2">
      <c r="A759" s="4" t="str">
        <f>"08.512/006/2025"</f>
        <v>08.512/006/2025</v>
      </c>
      <c r="B759" s="4" t="str">
        <f t="shared" si="33"/>
        <v>Zuwendungsrecht - Einführung</v>
      </c>
      <c r="C759" s="5">
        <v>45847</v>
      </c>
      <c r="D759" s="5">
        <v>45912</v>
      </c>
      <c r="E759" s="4" t="str">
        <f>"1x3 Tage, 1x2 Tage"</f>
        <v>1x3 Tage, 1x2 Tage</v>
      </c>
      <c r="F759" s="17">
        <v>1100</v>
      </c>
      <c r="G759" s="4"/>
      <c r="H759" s="4" t="s">
        <v>11</v>
      </c>
    </row>
    <row r="760" spans="1:8" x14ac:dyDescent="0.2">
      <c r="A760" s="4" t="str">
        <f>"08.512/006 a/2025"</f>
        <v>08.512/006 a/2025</v>
      </c>
      <c r="B760" s="4" t="str">
        <f t="shared" si="33"/>
        <v>Zuwendungsrecht - Einführung</v>
      </c>
      <c r="C760" s="5">
        <v>45847</v>
      </c>
      <c r="D760" s="5">
        <v>45849</v>
      </c>
      <c r="E760" s="4"/>
      <c r="F760" s="17"/>
      <c r="G760" s="4" t="s">
        <v>14</v>
      </c>
      <c r="H760" s="4" t="s">
        <v>11</v>
      </c>
    </row>
    <row r="761" spans="1:8" x14ac:dyDescent="0.2">
      <c r="A761" s="4" t="str">
        <f>"08.512/006 b/2025"</f>
        <v>08.512/006 b/2025</v>
      </c>
      <c r="B761" s="4" t="str">
        <f t="shared" si="33"/>
        <v>Zuwendungsrecht - Einführung</v>
      </c>
      <c r="C761" s="5">
        <v>45911</v>
      </c>
      <c r="D761" s="5">
        <v>45912</v>
      </c>
      <c r="E761" s="4"/>
      <c r="F761" s="17"/>
      <c r="G761" s="4" t="s">
        <v>14</v>
      </c>
      <c r="H761" s="4" t="s">
        <v>11</v>
      </c>
    </row>
    <row r="762" spans="1:8" x14ac:dyDescent="0.2">
      <c r="A762" s="4" t="str">
        <f>"08.512/007/2025"</f>
        <v>08.512/007/2025</v>
      </c>
      <c r="B762" s="4" t="str">
        <f t="shared" si="33"/>
        <v>Zuwendungsrecht - Einführung</v>
      </c>
      <c r="C762" s="5">
        <v>45901</v>
      </c>
      <c r="D762" s="5">
        <v>45940</v>
      </c>
      <c r="E762" s="4" t="str">
        <f>"1x3 Tage, 1x2 Tage"</f>
        <v>1x3 Tage, 1x2 Tage</v>
      </c>
      <c r="F762" s="17">
        <v>1100</v>
      </c>
      <c r="G762" s="4"/>
      <c r="H762" s="4" t="s">
        <v>11</v>
      </c>
    </row>
    <row r="763" spans="1:8" x14ac:dyDescent="0.2">
      <c r="A763" s="4" t="str">
        <f>"08.512/007 a/2025"</f>
        <v>08.512/007 a/2025</v>
      </c>
      <c r="B763" s="4" t="str">
        <f t="shared" si="33"/>
        <v>Zuwendungsrecht - Einführung</v>
      </c>
      <c r="C763" s="5">
        <v>45901</v>
      </c>
      <c r="D763" s="5">
        <v>45903</v>
      </c>
      <c r="E763" s="4"/>
      <c r="F763" s="17"/>
      <c r="G763" s="4" t="s">
        <v>14</v>
      </c>
      <c r="H763" s="4" t="s">
        <v>11</v>
      </c>
    </row>
    <row r="764" spans="1:8" x14ac:dyDescent="0.2">
      <c r="A764" s="4" t="str">
        <f>"08.512/007 b/2025"</f>
        <v>08.512/007 b/2025</v>
      </c>
      <c r="B764" s="4" t="str">
        <f t="shared" si="33"/>
        <v>Zuwendungsrecht - Einführung</v>
      </c>
      <c r="C764" s="5">
        <v>45939</v>
      </c>
      <c r="D764" s="5">
        <v>45940</v>
      </c>
      <c r="E764" s="4"/>
      <c r="F764" s="17"/>
      <c r="G764" s="4" t="s">
        <v>14</v>
      </c>
      <c r="H764" s="4" t="s">
        <v>11</v>
      </c>
    </row>
    <row r="765" spans="1:8" x14ac:dyDescent="0.2">
      <c r="A765" s="4" t="str">
        <f>"08.512/008/2025"</f>
        <v>08.512/008/2025</v>
      </c>
      <c r="B765" s="4" t="str">
        <f t="shared" si="33"/>
        <v>Zuwendungsrecht - Einführung</v>
      </c>
      <c r="C765" s="5">
        <v>45924</v>
      </c>
      <c r="D765" s="5">
        <v>45958</v>
      </c>
      <c r="E765" s="4" t="str">
        <f>"1x3 Tage, 1x2 Tage"</f>
        <v>1x3 Tage, 1x2 Tage</v>
      </c>
      <c r="F765" s="17">
        <v>1100</v>
      </c>
      <c r="G765" s="4"/>
      <c r="H765" s="4" t="s">
        <v>11</v>
      </c>
    </row>
    <row r="766" spans="1:8" x14ac:dyDescent="0.2">
      <c r="A766" s="4" t="str">
        <f>"08.512/008 a/2025"</f>
        <v>08.512/008 a/2025</v>
      </c>
      <c r="B766" s="4" t="str">
        <f t="shared" si="33"/>
        <v>Zuwendungsrecht - Einführung</v>
      </c>
      <c r="C766" s="5">
        <v>45924</v>
      </c>
      <c r="D766" s="5">
        <v>45926</v>
      </c>
      <c r="E766" s="4"/>
      <c r="F766" s="17"/>
      <c r="G766" s="4" t="s">
        <v>14</v>
      </c>
      <c r="H766" s="4" t="s">
        <v>11</v>
      </c>
    </row>
    <row r="767" spans="1:8" x14ac:dyDescent="0.2">
      <c r="A767" s="4" t="str">
        <f>"08.512/008 b/2025"</f>
        <v>08.512/008 b/2025</v>
      </c>
      <c r="B767" s="4" t="str">
        <f t="shared" si="33"/>
        <v>Zuwendungsrecht - Einführung</v>
      </c>
      <c r="C767" s="5">
        <v>45957</v>
      </c>
      <c r="D767" s="5">
        <v>45958</v>
      </c>
      <c r="E767" s="4"/>
      <c r="F767" s="17"/>
      <c r="G767" s="4" t="s">
        <v>14</v>
      </c>
      <c r="H767" s="4" t="s">
        <v>11</v>
      </c>
    </row>
    <row r="768" spans="1:8" x14ac:dyDescent="0.2">
      <c r="A768" s="4" t="str">
        <f>"08.512/009/2025"</f>
        <v>08.512/009/2025</v>
      </c>
      <c r="B768" s="4" t="str">
        <f t="shared" si="33"/>
        <v>Zuwendungsrecht - Einführung</v>
      </c>
      <c r="C768" s="5">
        <v>45971</v>
      </c>
      <c r="D768" s="5">
        <v>45989</v>
      </c>
      <c r="E768" s="4" t="str">
        <f>"1x3 Tage, 1x2 Tage"</f>
        <v>1x3 Tage, 1x2 Tage</v>
      </c>
      <c r="F768" s="17">
        <v>1100</v>
      </c>
      <c r="G768" s="4"/>
      <c r="H768" s="4" t="s">
        <v>11</v>
      </c>
    </row>
    <row r="769" spans="1:8" x14ac:dyDescent="0.2">
      <c r="A769" s="4" t="str">
        <f>"08.512/009 a/2025"</f>
        <v>08.512/009 a/2025</v>
      </c>
      <c r="B769" s="4" t="str">
        <f t="shared" si="33"/>
        <v>Zuwendungsrecht - Einführung</v>
      </c>
      <c r="C769" s="5">
        <v>45971</v>
      </c>
      <c r="D769" s="5">
        <v>45973</v>
      </c>
      <c r="E769" s="4"/>
      <c r="F769" s="17"/>
      <c r="G769" s="4" t="s">
        <v>14</v>
      </c>
      <c r="H769" s="4" t="s">
        <v>11</v>
      </c>
    </row>
    <row r="770" spans="1:8" x14ac:dyDescent="0.2">
      <c r="A770" s="4" t="str">
        <f>"08.512/009 b/2025"</f>
        <v>08.512/009 b/2025</v>
      </c>
      <c r="B770" s="4" t="str">
        <f t="shared" si="33"/>
        <v>Zuwendungsrecht - Einführung</v>
      </c>
      <c r="C770" s="5">
        <v>45988</v>
      </c>
      <c r="D770" s="5">
        <v>45989</v>
      </c>
      <c r="E770" s="4"/>
      <c r="F770" s="17"/>
      <c r="G770" s="4" t="s">
        <v>14</v>
      </c>
      <c r="H770" s="4" t="s">
        <v>11</v>
      </c>
    </row>
    <row r="771" spans="1:8" x14ac:dyDescent="0.2">
      <c r="A771" s="4" t="str">
        <f>"08.512/010/2025"</f>
        <v>08.512/010/2025</v>
      </c>
      <c r="B771" s="4" t="str">
        <f t="shared" si="33"/>
        <v>Zuwendungsrecht - Einführung</v>
      </c>
      <c r="C771" s="5">
        <v>45987</v>
      </c>
      <c r="D771" s="5">
        <v>46008</v>
      </c>
      <c r="E771" s="4" t="str">
        <f>"1x3 Tage, 1x2 Tage"</f>
        <v>1x3 Tage, 1x2 Tage</v>
      </c>
      <c r="F771" s="17">
        <v>1100</v>
      </c>
      <c r="G771" s="4"/>
      <c r="H771" s="4" t="s">
        <v>11</v>
      </c>
    </row>
    <row r="772" spans="1:8" x14ac:dyDescent="0.2">
      <c r="A772" s="4" t="str">
        <f>"08.512/010 a/2025"</f>
        <v>08.512/010 a/2025</v>
      </c>
      <c r="B772" s="4" t="str">
        <f t="shared" si="33"/>
        <v>Zuwendungsrecht - Einführung</v>
      </c>
      <c r="C772" s="5">
        <v>45987</v>
      </c>
      <c r="D772" s="5">
        <v>45989</v>
      </c>
      <c r="E772" s="4"/>
      <c r="F772" s="17"/>
      <c r="G772" s="4" t="s">
        <v>14</v>
      </c>
      <c r="H772" s="4" t="s">
        <v>11</v>
      </c>
    </row>
    <row r="773" spans="1:8" x14ac:dyDescent="0.2">
      <c r="A773" s="4" t="str">
        <f>"08.512/010 b/2025"</f>
        <v>08.512/010 b/2025</v>
      </c>
      <c r="B773" s="4" t="str">
        <f t="shared" si="33"/>
        <v>Zuwendungsrecht - Einführung</v>
      </c>
      <c r="C773" s="5">
        <v>46007</v>
      </c>
      <c r="D773" s="5">
        <v>46008</v>
      </c>
      <c r="E773" s="4"/>
      <c r="F773" s="17"/>
      <c r="G773" s="4" t="s">
        <v>14</v>
      </c>
      <c r="H773" s="4" t="s">
        <v>11</v>
      </c>
    </row>
    <row r="774" spans="1:8" x14ac:dyDescent="0.2">
      <c r="A774" s="4" t="str">
        <f>"08.514/001/2025"</f>
        <v>08.514/001/2025</v>
      </c>
      <c r="B774" s="4" t="str">
        <f>"Zuwendungsrecht - Vertiefung"</f>
        <v>Zuwendungsrecht - Vertiefung</v>
      </c>
      <c r="C774" s="5">
        <v>45663</v>
      </c>
      <c r="D774" s="5">
        <v>45665</v>
      </c>
      <c r="E774" s="4" t="str">
        <f>"3 Tage"</f>
        <v>3 Tage</v>
      </c>
      <c r="F774" s="17">
        <v>670</v>
      </c>
      <c r="G774" s="4" t="s">
        <v>14</v>
      </c>
      <c r="H774" s="4" t="s">
        <v>11</v>
      </c>
    </row>
    <row r="775" spans="1:8" x14ac:dyDescent="0.2">
      <c r="A775" s="4" t="str">
        <f>"08.514/004/2025"</f>
        <v>08.514/004/2025</v>
      </c>
      <c r="B775" s="4" t="str">
        <f>"Zuwendungsrecht - Vertiefung"</f>
        <v>Zuwendungsrecht - Vertiefung</v>
      </c>
      <c r="C775" s="5">
        <v>45910</v>
      </c>
      <c r="D775" s="5">
        <v>45912</v>
      </c>
      <c r="E775" s="4" t="str">
        <f>"3 Tage"</f>
        <v>3 Tage</v>
      </c>
      <c r="F775" s="17">
        <v>670</v>
      </c>
      <c r="G775" s="4" t="s">
        <v>14</v>
      </c>
      <c r="H775" s="4" t="s">
        <v>11</v>
      </c>
    </row>
    <row r="776" spans="1:8" x14ac:dyDescent="0.2">
      <c r="A776" s="4" t="str">
        <f>"08.514/005/2025"</f>
        <v>08.514/005/2025</v>
      </c>
      <c r="B776" s="4" t="str">
        <f>"Zuwendungsrecht - Vertiefung"</f>
        <v>Zuwendungsrecht - Vertiefung</v>
      </c>
      <c r="C776" s="5">
        <v>46001</v>
      </c>
      <c r="D776" s="5">
        <v>46003</v>
      </c>
      <c r="E776" s="4" t="str">
        <f>"3 Tage"</f>
        <v>3 Tage</v>
      </c>
      <c r="F776" s="17">
        <v>670</v>
      </c>
      <c r="G776" s="4" t="s">
        <v>14</v>
      </c>
      <c r="H776" s="4" t="s">
        <v>11</v>
      </c>
    </row>
    <row r="777" spans="1:8" x14ac:dyDescent="0.2">
      <c r="A777" s="4" t="str">
        <f>"08.518/001/2025"</f>
        <v>08.518/001/2025</v>
      </c>
      <c r="B777" s="4" t="str">
        <f>"Zuwendungsrecht - haushaltsrechtliche Grundlagen"</f>
        <v>Zuwendungsrecht - haushaltsrechtliche Grundlagen</v>
      </c>
      <c r="C777" s="5">
        <v>45748</v>
      </c>
      <c r="D777" s="5">
        <v>45748</v>
      </c>
      <c r="E777" s="4" t="str">
        <f>"1Tag"</f>
        <v>1Tag</v>
      </c>
      <c r="F777" s="17">
        <v>200</v>
      </c>
      <c r="G777" s="4" t="s">
        <v>14</v>
      </c>
      <c r="H777" s="4" t="s">
        <v>11</v>
      </c>
    </row>
    <row r="778" spans="1:8" x14ac:dyDescent="0.2">
      <c r="A778" s="4" t="str">
        <f>"08.520/001/2025"</f>
        <v>08.520/001/2025</v>
      </c>
      <c r="B778" s="4" t="str">
        <f>"Zuwendungsrecht - Prüfung von Verwendungsnachweisen"</f>
        <v>Zuwendungsrecht - Prüfung von Verwendungsnachweisen</v>
      </c>
      <c r="C778" s="5">
        <v>45722</v>
      </c>
      <c r="D778" s="5">
        <v>45723</v>
      </c>
      <c r="E778" s="4" t="str">
        <f>"2 Tage"</f>
        <v>2 Tage</v>
      </c>
      <c r="F778" s="17">
        <v>430</v>
      </c>
      <c r="G778" s="4" t="s">
        <v>14</v>
      </c>
      <c r="H778" s="4" t="s">
        <v>11</v>
      </c>
    </row>
    <row r="779" spans="1:8" x14ac:dyDescent="0.2">
      <c r="A779" s="4" t="str">
        <f>"08.520/002/2025"</f>
        <v>08.520/002/2025</v>
      </c>
      <c r="B779" s="4" t="str">
        <f>"Zuwendungsrecht - Prüfung von Verwendungsnachweisen"</f>
        <v>Zuwendungsrecht - Prüfung von Verwendungsnachweisen</v>
      </c>
      <c r="C779" s="5">
        <v>45820</v>
      </c>
      <c r="D779" s="5">
        <v>45821</v>
      </c>
      <c r="E779" s="4" t="str">
        <f>"2 Tage"</f>
        <v>2 Tage</v>
      </c>
      <c r="F779" s="17">
        <v>430</v>
      </c>
      <c r="G779" s="4" t="s">
        <v>14</v>
      </c>
      <c r="H779" s="4" t="s">
        <v>11</v>
      </c>
    </row>
    <row r="780" spans="1:8" x14ac:dyDescent="0.2">
      <c r="A780" s="4" t="str">
        <f>"08.520/003/2025"</f>
        <v>08.520/003/2025</v>
      </c>
      <c r="B780" s="4" t="str">
        <f>"Zuwendungsrecht - Prüfung von Verwendungsnachweisen"</f>
        <v>Zuwendungsrecht - Prüfung von Verwendungsnachweisen</v>
      </c>
      <c r="C780" s="5">
        <v>45953</v>
      </c>
      <c r="D780" s="5">
        <v>45954</v>
      </c>
      <c r="E780" s="4" t="str">
        <f>"2 Tage"</f>
        <v>2 Tage</v>
      </c>
      <c r="F780" s="17">
        <v>430</v>
      </c>
      <c r="G780" s="4" t="s">
        <v>14</v>
      </c>
      <c r="H780" s="4" t="s">
        <v>11</v>
      </c>
    </row>
    <row r="781" spans="1:8" x14ac:dyDescent="0.2">
      <c r="A781" s="4" t="str">
        <f>"08.520/004/2025"</f>
        <v>08.520/004/2025</v>
      </c>
      <c r="B781" s="4" t="str">
        <f>"Zuwendungsrecht - Prüfung von Verwendungsnachweisen"</f>
        <v>Zuwendungsrecht - Prüfung von Verwendungsnachweisen</v>
      </c>
      <c r="C781" s="5">
        <v>46002</v>
      </c>
      <c r="D781" s="5">
        <v>46003</v>
      </c>
      <c r="E781" s="4" t="str">
        <f>"2 Tage"</f>
        <v>2 Tage</v>
      </c>
      <c r="F781" s="17">
        <v>430</v>
      </c>
      <c r="G781" s="4" t="s">
        <v>14</v>
      </c>
      <c r="H781" s="4" t="s">
        <v>11</v>
      </c>
    </row>
    <row r="782" spans="1:8" x14ac:dyDescent="0.2">
      <c r="A782" s="4" t="str">
        <f>"08.524/001/2025"</f>
        <v>08.524/001/2025</v>
      </c>
      <c r="B782" s="4" t="str">
        <f>"Zuwendungsrecht - Rückforderung von Zuwendungen"</f>
        <v>Zuwendungsrecht - Rückforderung von Zuwendungen</v>
      </c>
      <c r="C782" s="5">
        <v>45705</v>
      </c>
      <c r="D782" s="5">
        <v>45705</v>
      </c>
      <c r="E782" s="4" t="str">
        <f>"1 Tag"</f>
        <v>1 Tag</v>
      </c>
      <c r="F782" s="17">
        <v>190</v>
      </c>
      <c r="G782" s="4" t="s">
        <v>14</v>
      </c>
      <c r="H782" s="4" t="s">
        <v>11</v>
      </c>
    </row>
    <row r="783" spans="1:8" x14ac:dyDescent="0.2">
      <c r="A783" s="4" t="str">
        <f>"08.524/002/2025"</f>
        <v>08.524/002/2025</v>
      </c>
      <c r="B783" s="4" t="str">
        <f>"Zuwendungsrecht - Rückforderung von Zuwendungen"</f>
        <v>Zuwendungsrecht - Rückforderung von Zuwendungen</v>
      </c>
      <c r="C783" s="5">
        <v>45810</v>
      </c>
      <c r="D783" s="5">
        <v>45810</v>
      </c>
      <c r="E783" s="4" t="str">
        <f>"1 Tag"</f>
        <v>1 Tag</v>
      </c>
      <c r="F783" s="17">
        <v>190</v>
      </c>
      <c r="G783" s="4" t="s">
        <v>14</v>
      </c>
      <c r="H783" s="4" t="s">
        <v>11</v>
      </c>
    </row>
    <row r="784" spans="1:8" x14ac:dyDescent="0.2">
      <c r="A784" s="4" t="str">
        <f>"08.524/003/2025"</f>
        <v>08.524/003/2025</v>
      </c>
      <c r="B784" s="4" t="str">
        <f>"Zuwendungsrecht - Rückforderung von Zuwendungen"</f>
        <v>Zuwendungsrecht - Rückforderung von Zuwendungen</v>
      </c>
      <c r="C784" s="5">
        <v>45992</v>
      </c>
      <c r="D784" s="5">
        <v>45992</v>
      </c>
      <c r="E784" s="4" t="str">
        <f>"1 Tag"</f>
        <v>1 Tag</v>
      </c>
      <c r="F784" s="17">
        <v>190</v>
      </c>
      <c r="G784" s="4" t="s">
        <v>14</v>
      </c>
      <c r="H784" s="4" t="s">
        <v>11</v>
      </c>
    </row>
    <row r="785" spans="1:8" x14ac:dyDescent="0.2">
      <c r="A785" s="4" t="str">
        <f>"08.610/001/2025"</f>
        <v>08.610/001/2025</v>
      </c>
      <c r="B785" s="4" t="str">
        <f>"Öffentliches Auftragswesen - Einführung"</f>
        <v>Öffentliches Auftragswesen - Einführung</v>
      </c>
      <c r="C785" s="5">
        <v>45665</v>
      </c>
      <c r="D785" s="5">
        <v>45667</v>
      </c>
      <c r="E785" s="4" t="str">
        <f>"3 Tage"</f>
        <v>3 Tage</v>
      </c>
      <c r="F785" s="17">
        <v>980</v>
      </c>
      <c r="G785" s="4" t="s">
        <v>14</v>
      </c>
      <c r="H785" s="4" t="s">
        <v>11</v>
      </c>
    </row>
    <row r="786" spans="1:8" x14ac:dyDescent="0.2">
      <c r="A786" s="4" t="str">
        <f>"08.610/002/2025"</f>
        <v>08.610/002/2025</v>
      </c>
      <c r="B786" s="4" t="str">
        <f>"Öffentliches Auftragswesen - Einführung"</f>
        <v>Öffentliches Auftragswesen - Einführung</v>
      </c>
      <c r="C786" s="5">
        <v>45705</v>
      </c>
      <c r="D786" s="5">
        <v>45707</v>
      </c>
      <c r="E786" s="4" t="str">
        <f>"3 Tage"</f>
        <v>3 Tage</v>
      </c>
      <c r="F786" s="17">
        <v>980</v>
      </c>
      <c r="G786" s="4" t="s">
        <v>14</v>
      </c>
      <c r="H786" s="4" t="s">
        <v>11</v>
      </c>
    </row>
    <row r="787" spans="1:8" x14ac:dyDescent="0.2">
      <c r="A787" s="4" t="str">
        <f>"08.610/003/2025"</f>
        <v>08.610/003/2025</v>
      </c>
      <c r="B787" s="4" t="str">
        <f>"Öffentliches Auftragswesen - Einführung"</f>
        <v>Öffentliches Auftragswesen - Einführung</v>
      </c>
      <c r="C787" s="5">
        <v>45824</v>
      </c>
      <c r="D787" s="5">
        <v>45826</v>
      </c>
      <c r="E787" s="4" t="str">
        <f>"3 Tage"</f>
        <v>3 Tage</v>
      </c>
      <c r="F787" s="17">
        <v>980</v>
      </c>
      <c r="G787" s="4" t="s">
        <v>14</v>
      </c>
      <c r="H787" s="4" t="s">
        <v>11</v>
      </c>
    </row>
    <row r="788" spans="1:8" x14ac:dyDescent="0.2">
      <c r="A788" s="4" t="str">
        <f>"08.610/004/2025"</f>
        <v>08.610/004/2025</v>
      </c>
      <c r="B788" s="4" t="str">
        <f>"Öffentliches Auftragswesen - Einführung"</f>
        <v>Öffentliches Auftragswesen - Einführung</v>
      </c>
      <c r="C788" s="5">
        <v>45930</v>
      </c>
      <c r="D788" s="5">
        <v>45932</v>
      </c>
      <c r="E788" s="4" t="str">
        <f>"3 Tage"</f>
        <v>3 Tage</v>
      </c>
      <c r="F788" s="17">
        <v>980</v>
      </c>
      <c r="G788" s="4" t="s">
        <v>14</v>
      </c>
      <c r="H788" s="4" t="s">
        <v>11</v>
      </c>
    </row>
    <row r="789" spans="1:8" x14ac:dyDescent="0.2">
      <c r="A789" s="4" t="str">
        <f>"08.610/005/2025"</f>
        <v>08.610/005/2025</v>
      </c>
      <c r="B789" s="4" t="str">
        <f>"Öffentliches Auftragswesen - Einführung"</f>
        <v>Öffentliches Auftragswesen - Einführung</v>
      </c>
      <c r="C789" s="5">
        <v>45980</v>
      </c>
      <c r="D789" s="5">
        <v>45982</v>
      </c>
      <c r="E789" s="4" t="str">
        <f>"3 Tage"</f>
        <v>3 Tage</v>
      </c>
      <c r="F789" s="17">
        <v>980</v>
      </c>
      <c r="G789" s="4" t="s">
        <v>14</v>
      </c>
      <c r="H789" s="4" t="s">
        <v>11</v>
      </c>
    </row>
    <row r="790" spans="1:8" x14ac:dyDescent="0.2">
      <c r="A790" s="4" t="str">
        <f>"08.611/001/2025"</f>
        <v>08.611/001/2025</v>
      </c>
      <c r="B790" s="4" t="str">
        <f>"Verhandlungsvergabe von A-Z"</f>
        <v>Verhandlungsvergabe von A-Z</v>
      </c>
      <c r="C790" s="5">
        <v>45974</v>
      </c>
      <c r="D790" s="5">
        <v>45975</v>
      </c>
      <c r="E790" s="4" t="str">
        <f>"2 Tage"</f>
        <v>2 Tage</v>
      </c>
      <c r="F790" s="17">
        <v>430</v>
      </c>
      <c r="G790" s="4" t="s">
        <v>14</v>
      </c>
      <c r="H790" s="4" t="s">
        <v>11</v>
      </c>
    </row>
    <row r="791" spans="1:8" x14ac:dyDescent="0.2">
      <c r="A791" s="4" t="str">
        <f>"08.612/001/2025"</f>
        <v>08.612/001/2025</v>
      </c>
      <c r="B791" s="4" t="str">
        <f>"Öffentliches Auftragswesen - Vertiefung inklusive EU-Vergaberecht"</f>
        <v>Öffentliches Auftragswesen - Vertiefung inklusive EU-Vergaberecht</v>
      </c>
      <c r="C791" s="5">
        <v>45771</v>
      </c>
      <c r="D791" s="5">
        <v>45772</v>
      </c>
      <c r="E791" s="4" t="str">
        <f>"2 Tage"</f>
        <v>2 Tage</v>
      </c>
      <c r="F791" s="17">
        <v>430</v>
      </c>
      <c r="G791" s="4" t="s">
        <v>14</v>
      </c>
      <c r="H791" s="4" t="s">
        <v>11</v>
      </c>
    </row>
    <row r="792" spans="1:8" x14ac:dyDescent="0.2">
      <c r="A792" s="4" t="str">
        <f>"08.612/002/2025"</f>
        <v>08.612/002/2025</v>
      </c>
      <c r="B792" s="4" t="str">
        <f>"Öffentliches Auftragswesen - Vertiefung inklusive EU-Vergaberecht"</f>
        <v>Öffentliches Auftragswesen - Vertiefung inklusive EU-Vergaberecht</v>
      </c>
      <c r="C792" s="5">
        <v>45943</v>
      </c>
      <c r="D792" s="5">
        <v>45944</v>
      </c>
      <c r="E792" s="4" t="str">
        <f>"2 Tage"</f>
        <v>2 Tage</v>
      </c>
      <c r="F792" s="17">
        <v>430</v>
      </c>
      <c r="G792" s="4" t="s">
        <v>14</v>
      </c>
      <c r="H792" s="4" t="s">
        <v>11</v>
      </c>
    </row>
    <row r="793" spans="1:8" x14ac:dyDescent="0.2">
      <c r="A793" s="4" t="str">
        <f>"08.613/001/2025"</f>
        <v>08.613/001/2025</v>
      </c>
      <c r="B793" s="4" t="str">
        <f>"Grundlagen der Vergabe im Gebäudemanagement"</f>
        <v>Grundlagen der Vergabe im Gebäudemanagement</v>
      </c>
      <c r="C793" s="5">
        <v>45754</v>
      </c>
      <c r="D793" s="5">
        <v>45755</v>
      </c>
      <c r="E793" s="4" t="str">
        <f>"2 Tage"</f>
        <v>2 Tage</v>
      </c>
      <c r="F793" s="17">
        <v>430</v>
      </c>
      <c r="G793" s="4" t="s">
        <v>14</v>
      </c>
      <c r="H793" s="4" t="s">
        <v>11</v>
      </c>
    </row>
    <row r="794" spans="1:8" x14ac:dyDescent="0.2">
      <c r="A794" s="4" t="str">
        <f>"08.613/002/2025"</f>
        <v>08.613/002/2025</v>
      </c>
      <c r="B794" s="4" t="str">
        <f>"Grundlagen der Vergabe im Gebäudemanagement"</f>
        <v>Grundlagen der Vergabe im Gebäudemanagement</v>
      </c>
      <c r="C794" s="5">
        <v>45986</v>
      </c>
      <c r="D794" s="5">
        <v>45987</v>
      </c>
      <c r="E794" s="4" t="str">
        <f>"2 Tage"</f>
        <v>2 Tage</v>
      </c>
      <c r="F794" s="17">
        <v>430</v>
      </c>
      <c r="G794" s="4" t="s">
        <v>14</v>
      </c>
      <c r="H794" s="4" t="s">
        <v>11</v>
      </c>
    </row>
    <row r="795" spans="1:8" x14ac:dyDescent="0.2">
      <c r="A795" s="4" t="str">
        <f>"08.614/001/2025"</f>
        <v>08.614/001/2025</v>
      </c>
      <c r="B795" s="4" t="str">
        <f>"Grundlagen der VOB Teil A Basisparagrafen"</f>
        <v>Grundlagen der VOB Teil A Basisparagrafen</v>
      </c>
      <c r="C795" s="5">
        <v>45789</v>
      </c>
      <c r="D795" s="5">
        <v>45789</v>
      </c>
      <c r="E795" s="4" t="str">
        <f>"1 Tag"</f>
        <v>1 Tag</v>
      </c>
      <c r="F795" s="17">
        <v>190</v>
      </c>
      <c r="G795" s="4" t="s">
        <v>14</v>
      </c>
      <c r="H795" s="4" t="s">
        <v>11</v>
      </c>
    </row>
    <row r="796" spans="1:8" x14ac:dyDescent="0.2">
      <c r="A796" s="4" t="str">
        <f>"08.616/001/2025"</f>
        <v>08.616/001/2025</v>
      </c>
      <c r="B796" s="4" t="str">
        <f>"Öffentliches Auftragswesen - Workshop"</f>
        <v>Öffentliches Auftragswesen - Workshop</v>
      </c>
      <c r="C796" s="5">
        <v>45744</v>
      </c>
      <c r="D796" s="5">
        <v>45744</v>
      </c>
      <c r="E796" s="4" t="str">
        <f>"1 Tag"</f>
        <v>1 Tag</v>
      </c>
      <c r="F796" s="17">
        <v>190</v>
      </c>
      <c r="G796" s="4" t="s">
        <v>14</v>
      </c>
      <c r="H796" s="4" t="s">
        <v>11</v>
      </c>
    </row>
    <row r="797" spans="1:8" x14ac:dyDescent="0.2">
      <c r="A797" s="4" t="str">
        <f>"08.624/001/2025"</f>
        <v>08.624/001/2025</v>
      </c>
      <c r="B797" s="4" t="str">
        <f>"Öffentliches Auftragswesen - vertragliche Grundlagen der Beschaffung von Liefer- und Dienstleistungen VOL/B"</f>
        <v>Öffentliches Auftragswesen - vertragliche Grundlagen der Beschaffung von Liefer- und Dienstleistungen VOL/B</v>
      </c>
      <c r="C797" s="5">
        <v>45824</v>
      </c>
      <c r="D797" s="5">
        <v>45825</v>
      </c>
      <c r="E797" s="4" t="str">
        <f t="shared" ref="E797:E802" si="34">"2 Tage"</f>
        <v>2 Tage</v>
      </c>
      <c r="F797" s="17">
        <v>430</v>
      </c>
      <c r="G797" s="4" t="s">
        <v>14</v>
      </c>
      <c r="H797" s="4" t="s">
        <v>11</v>
      </c>
    </row>
    <row r="798" spans="1:8" x14ac:dyDescent="0.2">
      <c r="A798" s="4" t="str">
        <f>"08.626/001/2025"</f>
        <v>08.626/001/2025</v>
      </c>
      <c r="B798" s="4" t="str">
        <f>"Öffentliches Auftragswesen - vertragliche Grundlagen der Beschaffung von Bauleistungen VOB/B"</f>
        <v>Öffentliches Auftragswesen - vertragliche Grundlagen der Beschaffung von Bauleistungen VOB/B</v>
      </c>
      <c r="C798" s="5">
        <v>45848</v>
      </c>
      <c r="D798" s="5">
        <v>45849</v>
      </c>
      <c r="E798" s="4" t="str">
        <f t="shared" si="34"/>
        <v>2 Tage</v>
      </c>
      <c r="F798" s="17">
        <v>430</v>
      </c>
      <c r="G798" s="4" t="s">
        <v>14</v>
      </c>
      <c r="H798" s="4" t="s">
        <v>11</v>
      </c>
    </row>
    <row r="799" spans="1:8" x14ac:dyDescent="0.2">
      <c r="A799" s="4" t="str">
        <f>"08.628/001/2025"</f>
        <v>08.628/001/2025</v>
      </c>
      <c r="B799" s="4" t="str">
        <f>"Öffentliches Auftragswesen - Verhandlungsvergabe und Verhandeln"</f>
        <v>Öffentliches Auftragswesen - Verhandlungsvergabe und Verhandeln</v>
      </c>
      <c r="C799" s="5">
        <v>45728</v>
      </c>
      <c r="D799" s="5">
        <v>45729</v>
      </c>
      <c r="E799" s="4" t="str">
        <f t="shared" si="34"/>
        <v>2 Tage</v>
      </c>
      <c r="F799" s="17">
        <v>430</v>
      </c>
      <c r="G799" s="4" t="s">
        <v>14</v>
      </c>
      <c r="H799" s="4" t="s">
        <v>11</v>
      </c>
    </row>
    <row r="800" spans="1:8" x14ac:dyDescent="0.2">
      <c r="A800" s="4" t="str">
        <f>"08.630/001/2025"</f>
        <v>08.630/001/2025</v>
      </c>
      <c r="B800" s="4" t="str">
        <f>"Öffentliches Auftragswesen für Zuwendungsempfänger und deren Prüfer"</f>
        <v>Öffentliches Auftragswesen für Zuwendungsempfänger und deren Prüfer</v>
      </c>
      <c r="C800" s="5">
        <v>45775</v>
      </c>
      <c r="D800" s="5">
        <v>45776</v>
      </c>
      <c r="E800" s="4" t="str">
        <f t="shared" si="34"/>
        <v>2 Tage</v>
      </c>
      <c r="F800" s="17">
        <v>430</v>
      </c>
      <c r="G800" s="4" t="s">
        <v>14</v>
      </c>
      <c r="H800" s="4" t="s">
        <v>11</v>
      </c>
    </row>
    <row r="801" spans="1:8" x14ac:dyDescent="0.2">
      <c r="A801" s="4" t="str">
        <f>"08.630/002/2025"</f>
        <v>08.630/002/2025</v>
      </c>
      <c r="B801" s="4" t="str">
        <f>"Öffentliches Auftragswesen für Zuwendungsempfänger und deren Prüfer"</f>
        <v>Öffentliches Auftragswesen für Zuwendungsempfänger und deren Prüfer</v>
      </c>
      <c r="C801" s="5">
        <v>45967</v>
      </c>
      <c r="D801" s="5">
        <v>45968</v>
      </c>
      <c r="E801" s="4" t="str">
        <f t="shared" si="34"/>
        <v>2 Tage</v>
      </c>
      <c r="F801" s="17">
        <v>430</v>
      </c>
      <c r="G801" s="4" t="s">
        <v>14</v>
      </c>
      <c r="H801" s="4" t="s">
        <v>11</v>
      </c>
    </row>
    <row r="802" spans="1:8" x14ac:dyDescent="0.2">
      <c r="A802" s="4" t="str">
        <f>"08.635/001/2025"</f>
        <v>08.635/001/2025</v>
      </c>
      <c r="B802" s="4" t="str">
        <f>"EVB-IT: Musterverträge für Vergaben einordnen, verstehen, bewerten"</f>
        <v>EVB-IT: Musterverträge für Vergaben einordnen, verstehen, bewerten</v>
      </c>
      <c r="C802" s="5">
        <v>45733</v>
      </c>
      <c r="D802" s="5">
        <v>45734</v>
      </c>
      <c r="E802" s="4" t="str">
        <f t="shared" si="34"/>
        <v>2 Tage</v>
      </c>
      <c r="F802" s="17">
        <v>450</v>
      </c>
      <c r="G802" s="4" t="s">
        <v>14</v>
      </c>
      <c r="H802" s="4" t="s">
        <v>22</v>
      </c>
    </row>
    <row r="803" spans="1:8" x14ac:dyDescent="0.2">
      <c r="A803" s="4" t="str">
        <f>"08.640/001/2025"</f>
        <v>08.640/001/2025</v>
      </c>
      <c r="B803" s="4" t="str">
        <f>"Vergaberechtliches Grundwissen für Bedarfsstellen im Unterschwellenbereich"</f>
        <v>Vergaberechtliches Grundwissen für Bedarfsstellen im Unterschwellenbereich</v>
      </c>
      <c r="C803" s="5">
        <v>45898</v>
      </c>
      <c r="D803" s="5">
        <v>45898</v>
      </c>
      <c r="E803" s="4" t="str">
        <f t="shared" ref="E803:E808" si="35">"1 Tag"</f>
        <v>1 Tag</v>
      </c>
      <c r="F803" s="17">
        <v>190</v>
      </c>
      <c r="G803" s="4" t="s">
        <v>14</v>
      </c>
      <c r="H803" s="4" t="s">
        <v>11</v>
      </c>
    </row>
    <row r="804" spans="1:8" x14ac:dyDescent="0.2">
      <c r="A804" s="4" t="str">
        <f>"08.644/001/2025"</f>
        <v>08.644/001/2025</v>
      </c>
      <c r="B804" s="4" t="str">
        <f>"Rahmenvereinbarungen, Interimsvergabe und Direktbeauftragung -Anwendungsmöglichkeiten und Grenzen"</f>
        <v>Rahmenvereinbarungen, Interimsvergabe und Direktbeauftragung -Anwendungsmöglichkeiten und Grenzen</v>
      </c>
      <c r="C804" s="5">
        <v>45978</v>
      </c>
      <c r="D804" s="5">
        <v>45978</v>
      </c>
      <c r="E804" s="4" t="str">
        <f t="shared" si="35"/>
        <v>1 Tag</v>
      </c>
      <c r="F804" s="17">
        <v>190</v>
      </c>
      <c r="G804" s="4" t="s">
        <v>14</v>
      </c>
      <c r="H804" s="4" t="s">
        <v>11</v>
      </c>
    </row>
    <row r="805" spans="1:8" x14ac:dyDescent="0.2">
      <c r="A805" s="4" t="str">
        <f>"08.650/001/2025"</f>
        <v>08.650/001/2025</v>
      </c>
      <c r="B805" s="4" t="str">
        <f>"Einführung in die Vergabe von Liefer- und Dienstleistungen - kompakt"</f>
        <v>Einführung in die Vergabe von Liefer- und Dienstleistungen - kompakt</v>
      </c>
      <c r="C805" s="5">
        <v>45698</v>
      </c>
      <c r="D805" s="5">
        <v>45698</v>
      </c>
      <c r="E805" s="4" t="str">
        <f t="shared" si="35"/>
        <v>1 Tag</v>
      </c>
      <c r="F805" s="17">
        <v>190</v>
      </c>
      <c r="G805" s="4" t="s">
        <v>14</v>
      </c>
      <c r="H805" s="4" t="s">
        <v>11</v>
      </c>
    </row>
    <row r="806" spans="1:8" x14ac:dyDescent="0.2">
      <c r="A806" s="4" t="str">
        <f>"08.650/002/2025"</f>
        <v>08.650/002/2025</v>
      </c>
      <c r="B806" s="4" t="str">
        <f>"Einführung in die Vergabe von Liefer- und Dienstleistungen - kompakt"</f>
        <v>Einführung in die Vergabe von Liefer- und Dienstleistungen - kompakt</v>
      </c>
      <c r="C806" s="5">
        <v>45980</v>
      </c>
      <c r="D806" s="5">
        <v>45980</v>
      </c>
      <c r="E806" s="4" t="str">
        <f t="shared" si="35"/>
        <v>1 Tag</v>
      </c>
      <c r="F806" s="17">
        <v>190</v>
      </c>
      <c r="G806" s="4" t="s">
        <v>14</v>
      </c>
      <c r="H806" s="4" t="s">
        <v>11</v>
      </c>
    </row>
    <row r="807" spans="1:8" x14ac:dyDescent="0.2">
      <c r="A807" s="4" t="str">
        <f>"08.652/001/2025"</f>
        <v>08.652/001/2025</v>
      </c>
      <c r="B807" s="4" t="str">
        <f>"Vertiefungsworkshop - Vergabe von Dienst- und Lieferleistungen - kompakt"</f>
        <v>Vertiefungsworkshop - Vergabe von Dienst- und Lieferleistungen - kompakt</v>
      </c>
      <c r="C807" s="5">
        <v>45821</v>
      </c>
      <c r="D807" s="5">
        <v>45821</v>
      </c>
      <c r="E807" s="4" t="str">
        <f t="shared" si="35"/>
        <v>1 Tag</v>
      </c>
      <c r="F807" s="17">
        <v>190</v>
      </c>
      <c r="G807" s="4" t="s">
        <v>14</v>
      </c>
      <c r="H807" s="4" t="s">
        <v>11</v>
      </c>
    </row>
    <row r="808" spans="1:8" x14ac:dyDescent="0.2">
      <c r="A808" s="4" t="str">
        <f>"08.652/002/2025"</f>
        <v>08.652/002/2025</v>
      </c>
      <c r="B808" s="4" t="str">
        <f>"Vertiefungsworkshop - Vergabe von Dienst- und Lieferleistungen - kompakt"</f>
        <v>Vertiefungsworkshop - Vergabe von Dienst- und Lieferleistungen - kompakt</v>
      </c>
      <c r="C808" s="5">
        <v>46006</v>
      </c>
      <c r="D808" s="5">
        <v>46006</v>
      </c>
      <c r="E808" s="4" t="str">
        <f t="shared" si="35"/>
        <v>1 Tag</v>
      </c>
      <c r="F808" s="17">
        <v>190</v>
      </c>
      <c r="G808" s="4" t="s">
        <v>14</v>
      </c>
      <c r="H808" s="4" t="s">
        <v>11</v>
      </c>
    </row>
    <row r="809" spans="1:8" x14ac:dyDescent="0.2">
      <c r="A809" s="4" t="str">
        <f>"08.654/001/2025"</f>
        <v>08.654/001/2025</v>
      </c>
      <c r="B809" s="4" t="str">
        <f>"Nachhaltige öffentliche Beschaffung - qualitative Aspekte in der Vergabeentscheidung"</f>
        <v>Nachhaltige öffentliche Beschaffung - qualitative Aspekte in der Vergabeentscheidung</v>
      </c>
      <c r="C809" s="5">
        <v>45960</v>
      </c>
      <c r="D809" s="5">
        <v>45961</v>
      </c>
      <c r="E809" s="4" t="str">
        <f>"2 Tage"</f>
        <v>2 Tage</v>
      </c>
      <c r="F809" s="17">
        <v>610</v>
      </c>
      <c r="G809" s="4" t="s">
        <v>17</v>
      </c>
      <c r="H809" s="4" t="s">
        <v>22</v>
      </c>
    </row>
    <row r="810" spans="1:8" x14ac:dyDescent="0.2">
      <c r="A810" s="4" t="str">
        <f>"08.710/001/2025"</f>
        <v>08.710/001/2025</v>
      </c>
      <c r="B810" s="4" t="str">
        <f>"Rechtliche Grundlagen des Verwaltungshandelns"</f>
        <v>Rechtliche Grundlagen des Verwaltungshandelns</v>
      </c>
      <c r="C810" s="5">
        <v>45728</v>
      </c>
      <c r="D810" s="5">
        <v>45758</v>
      </c>
      <c r="E810" s="4" t="str">
        <f>"1x3 Tage, 1x2 Tage"</f>
        <v>1x3 Tage, 1x2 Tage</v>
      </c>
      <c r="F810" s="17">
        <v>1100</v>
      </c>
      <c r="G810" s="4"/>
      <c r="H810" s="4" t="s">
        <v>11</v>
      </c>
    </row>
    <row r="811" spans="1:8" x14ac:dyDescent="0.2">
      <c r="A811" s="4" t="str">
        <f>"08.710/001 a/2025"</f>
        <v>08.710/001 a/2025</v>
      </c>
      <c r="B811" s="4" t="str">
        <f>"Rechtliche Grundlagen des Verwaltungshandelns "</f>
        <v xml:space="preserve">Rechtliche Grundlagen des Verwaltungshandelns </v>
      </c>
      <c r="C811" s="5">
        <v>45728</v>
      </c>
      <c r="D811" s="5">
        <v>45730</v>
      </c>
      <c r="E811" s="4"/>
      <c r="F811" s="17"/>
      <c r="G811" s="4" t="s">
        <v>14</v>
      </c>
      <c r="H811" s="4" t="s">
        <v>11</v>
      </c>
    </row>
    <row r="812" spans="1:8" x14ac:dyDescent="0.2">
      <c r="A812" s="4" t="str">
        <f>"08.710/001 b/2025"</f>
        <v>08.710/001 b/2025</v>
      </c>
      <c r="B812" s="4" t="str">
        <f>"Rechtliche Grundlagen des Verwaltungshandelns "</f>
        <v xml:space="preserve">Rechtliche Grundlagen des Verwaltungshandelns </v>
      </c>
      <c r="C812" s="5">
        <v>45757</v>
      </c>
      <c r="D812" s="5">
        <v>45758</v>
      </c>
      <c r="E812" s="4"/>
      <c r="F812" s="17"/>
      <c r="G812" s="4" t="s">
        <v>14</v>
      </c>
      <c r="H812" s="4" t="s">
        <v>11</v>
      </c>
    </row>
    <row r="813" spans="1:8" x14ac:dyDescent="0.2">
      <c r="A813" s="4" t="str">
        <f>"08.710/002/2025"</f>
        <v>08.710/002/2025</v>
      </c>
      <c r="B813" s="4" t="str">
        <f>"Rechtliche Grundlagen des Verwaltungshandelns"</f>
        <v>Rechtliche Grundlagen des Verwaltungshandelns</v>
      </c>
      <c r="C813" s="5">
        <v>45791</v>
      </c>
      <c r="D813" s="5">
        <v>45849</v>
      </c>
      <c r="E813" s="4" t="str">
        <f>"1x3 Tage, 1x2 Tage"</f>
        <v>1x3 Tage, 1x2 Tage</v>
      </c>
      <c r="F813" s="17">
        <v>1100</v>
      </c>
      <c r="G813" s="4"/>
      <c r="H813" s="4" t="s">
        <v>11</v>
      </c>
    </row>
    <row r="814" spans="1:8" x14ac:dyDescent="0.2">
      <c r="A814" s="4" t="str">
        <f>"08.710/002 a/2025"</f>
        <v>08.710/002 a/2025</v>
      </c>
      <c r="B814" s="4" t="str">
        <f>"Rechtliche Grundlagen des Verwaltungshandelns "</f>
        <v xml:space="preserve">Rechtliche Grundlagen des Verwaltungshandelns </v>
      </c>
      <c r="C814" s="5">
        <v>45791</v>
      </c>
      <c r="D814" s="5">
        <v>45793</v>
      </c>
      <c r="E814" s="4"/>
      <c r="F814" s="17"/>
      <c r="G814" s="4" t="s">
        <v>14</v>
      </c>
      <c r="H814" s="4" t="s">
        <v>11</v>
      </c>
    </row>
    <row r="815" spans="1:8" x14ac:dyDescent="0.2">
      <c r="A815" s="4" t="str">
        <f>"08.710/002 b/2025"</f>
        <v>08.710/002 b/2025</v>
      </c>
      <c r="B815" s="4" t="str">
        <f>"Rechtliche Grundlagen des Verwaltungshandelns "</f>
        <v xml:space="preserve">Rechtliche Grundlagen des Verwaltungshandelns </v>
      </c>
      <c r="C815" s="5">
        <v>45848</v>
      </c>
      <c r="D815" s="5">
        <v>45849</v>
      </c>
      <c r="E815" s="4"/>
      <c r="F815" s="17"/>
      <c r="G815" s="4" t="s">
        <v>14</v>
      </c>
      <c r="H815" s="4" t="s">
        <v>11</v>
      </c>
    </row>
    <row r="816" spans="1:8" x14ac:dyDescent="0.2">
      <c r="A816" s="4" t="str">
        <f>"08.710/003/2025"</f>
        <v>08.710/003/2025</v>
      </c>
      <c r="B816" s="4" t="str">
        <f>"Rechtliche Grundlagen des Verwaltungshandelns"</f>
        <v>Rechtliche Grundlagen des Verwaltungshandelns</v>
      </c>
      <c r="C816" s="5">
        <v>45866</v>
      </c>
      <c r="D816" s="5">
        <v>45916</v>
      </c>
      <c r="E816" s="4" t="str">
        <f>"1x3 Tage, 1x2 Tage"</f>
        <v>1x3 Tage, 1x2 Tage</v>
      </c>
      <c r="F816" s="17">
        <v>1100</v>
      </c>
      <c r="G816" s="4"/>
      <c r="H816" s="4" t="s">
        <v>11</v>
      </c>
    </row>
    <row r="817" spans="1:8" x14ac:dyDescent="0.2">
      <c r="A817" s="4" t="str">
        <f>"08.710/003 a/2025"</f>
        <v>08.710/003 a/2025</v>
      </c>
      <c r="B817" s="4" t="str">
        <f>"Rechtliche Grundlagen des Verwaltungshandelns "</f>
        <v xml:space="preserve">Rechtliche Grundlagen des Verwaltungshandelns </v>
      </c>
      <c r="C817" s="5">
        <v>45866</v>
      </c>
      <c r="D817" s="5">
        <v>45868</v>
      </c>
      <c r="E817" s="4"/>
      <c r="F817" s="17"/>
      <c r="G817" s="4" t="s">
        <v>14</v>
      </c>
      <c r="H817" s="4" t="s">
        <v>11</v>
      </c>
    </row>
    <row r="818" spans="1:8" x14ac:dyDescent="0.2">
      <c r="A818" s="4" t="str">
        <f>"08.710/003 b/2025"</f>
        <v>08.710/003 b/2025</v>
      </c>
      <c r="B818" s="4" t="str">
        <f>"Rechtliche Grundlagen des Verwaltungshandelns "</f>
        <v xml:space="preserve">Rechtliche Grundlagen des Verwaltungshandelns </v>
      </c>
      <c r="C818" s="5">
        <v>45915</v>
      </c>
      <c r="D818" s="5">
        <v>45916</v>
      </c>
      <c r="E818" s="4"/>
      <c r="F818" s="17"/>
      <c r="G818" s="4" t="s">
        <v>14</v>
      </c>
      <c r="H818" s="4" t="s">
        <v>11</v>
      </c>
    </row>
    <row r="819" spans="1:8" x14ac:dyDescent="0.2">
      <c r="A819" s="4" t="str">
        <f>"08.710/004/2025"</f>
        <v>08.710/004/2025</v>
      </c>
      <c r="B819" s="4" t="str">
        <f>"Rechtliche Grundlagen des Verwaltungshandelns"</f>
        <v>Rechtliche Grundlagen des Verwaltungshandelns</v>
      </c>
      <c r="C819" s="5">
        <v>45952</v>
      </c>
      <c r="D819" s="5">
        <v>45986</v>
      </c>
      <c r="E819" s="4" t="str">
        <f>"1x3 Tage, 1x2 Tage"</f>
        <v>1x3 Tage, 1x2 Tage</v>
      </c>
      <c r="F819" s="17">
        <v>1100</v>
      </c>
      <c r="G819" s="4"/>
      <c r="H819" s="4" t="s">
        <v>11</v>
      </c>
    </row>
    <row r="820" spans="1:8" x14ac:dyDescent="0.2">
      <c r="A820" s="4" t="str">
        <f>"08.710/004 a/2025"</f>
        <v>08.710/004 a/2025</v>
      </c>
      <c r="B820" s="4" t="str">
        <f>"Rechtliche Grundlagen des Verwaltungshandelns "</f>
        <v xml:space="preserve">Rechtliche Grundlagen des Verwaltungshandelns </v>
      </c>
      <c r="C820" s="5">
        <v>45952</v>
      </c>
      <c r="D820" s="5">
        <v>45954</v>
      </c>
      <c r="E820" s="4"/>
      <c r="F820" s="17"/>
      <c r="G820" s="4" t="s">
        <v>14</v>
      </c>
      <c r="H820" s="4" t="s">
        <v>11</v>
      </c>
    </row>
    <row r="821" spans="1:8" x14ac:dyDescent="0.2">
      <c r="A821" s="4" t="str">
        <f>"08.710/004 b/2025"</f>
        <v>08.710/004 b/2025</v>
      </c>
      <c r="B821" s="4" t="str">
        <f>"Rechtliche Grundlagen des Verwaltungshandelns "</f>
        <v xml:space="preserve">Rechtliche Grundlagen des Verwaltungshandelns </v>
      </c>
      <c r="C821" s="5">
        <v>45985</v>
      </c>
      <c r="D821" s="5">
        <v>45986</v>
      </c>
      <c r="E821" s="4"/>
      <c r="F821" s="17"/>
      <c r="G821" s="4" t="s">
        <v>14</v>
      </c>
      <c r="H821" s="4" t="s">
        <v>11</v>
      </c>
    </row>
    <row r="822" spans="1:8" x14ac:dyDescent="0.2">
      <c r="A822" s="4" t="str">
        <f>"08.711/001/2025"</f>
        <v>08.711/001/2025</v>
      </c>
      <c r="B822" s="4" t="str">
        <f>"Methoden der Rechtsanwendung - Bescheidtechnik für Nichtjuristen"</f>
        <v>Methoden der Rechtsanwendung - Bescheidtechnik für Nichtjuristen</v>
      </c>
      <c r="C822" s="5">
        <v>45694</v>
      </c>
      <c r="D822" s="5">
        <v>45695</v>
      </c>
      <c r="E822" s="4" t="str">
        <f>"2 Tage"</f>
        <v>2 Tage</v>
      </c>
      <c r="F822" s="17">
        <v>430</v>
      </c>
      <c r="G822" s="4" t="s">
        <v>14</v>
      </c>
      <c r="H822" s="4" t="s">
        <v>11</v>
      </c>
    </row>
    <row r="823" spans="1:8" x14ac:dyDescent="0.2">
      <c r="A823" s="4" t="str">
        <f>"08.711/002/2025"</f>
        <v>08.711/002/2025</v>
      </c>
      <c r="B823" s="4" t="str">
        <f>"Methoden der Rechtsanwendung - Bescheidtechnik für Nichtjuristen"</f>
        <v>Methoden der Rechtsanwendung - Bescheidtechnik für Nichtjuristen</v>
      </c>
      <c r="C823" s="5">
        <v>45841</v>
      </c>
      <c r="D823" s="5">
        <v>45842</v>
      </c>
      <c r="E823" s="4" t="str">
        <f>"2 Tage"</f>
        <v>2 Tage</v>
      </c>
      <c r="F823" s="17">
        <v>430</v>
      </c>
      <c r="G823" s="4" t="s">
        <v>14</v>
      </c>
      <c r="H823" s="4" t="s">
        <v>11</v>
      </c>
    </row>
    <row r="824" spans="1:8" x14ac:dyDescent="0.2">
      <c r="A824" s="4" t="str">
        <f>"08.711/003/2025"</f>
        <v>08.711/003/2025</v>
      </c>
      <c r="B824" s="4" t="str">
        <f>"Methoden der Rechtsanwendung - Bescheidtechnik für Nichtjuristen"</f>
        <v>Methoden der Rechtsanwendung - Bescheidtechnik für Nichtjuristen</v>
      </c>
      <c r="C824" s="5">
        <v>45904</v>
      </c>
      <c r="D824" s="5">
        <v>45905</v>
      </c>
      <c r="E824" s="4" t="str">
        <f>"2 Tage"</f>
        <v>2 Tage</v>
      </c>
      <c r="F824" s="17">
        <v>430</v>
      </c>
      <c r="G824" s="4" t="s">
        <v>14</v>
      </c>
      <c r="H824" s="4" t="s">
        <v>11</v>
      </c>
    </row>
    <row r="825" spans="1:8" x14ac:dyDescent="0.2">
      <c r="A825" s="4" t="str">
        <f>"08.711/004/2025"</f>
        <v>08.711/004/2025</v>
      </c>
      <c r="B825" s="4" t="str">
        <f>"Methoden der Rechtsanwendung - Bescheidtechnik für Nichtjuristen"</f>
        <v>Methoden der Rechtsanwendung - Bescheidtechnik für Nichtjuristen</v>
      </c>
      <c r="C825" s="5">
        <v>45953</v>
      </c>
      <c r="D825" s="5">
        <v>45954</v>
      </c>
      <c r="E825" s="4" t="str">
        <f>"2 Tage"</f>
        <v>2 Tage</v>
      </c>
      <c r="F825" s="17">
        <v>430</v>
      </c>
      <c r="G825" s="4" t="s">
        <v>14</v>
      </c>
      <c r="H825" s="4" t="s">
        <v>11</v>
      </c>
    </row>
    <row r="826" spans="1:8" x14ac:dyDescent="0.2">
      <c r="A826" s="4" t="str">
        <f>"08.712/001/2025"</f>
        <v>08.712/001/2025</v>
      </c>
      <c r="B826" s="4" t="str">
        <f>"Aufbau der Landesverwaltung NRW"</f>
        <v>Aufbau der Landesverwaltung NRW</v>
      </c>
      <c r="C826" s="5">
        <v>45932</v>
      </c>
      <c r="D826" s="5">
        <v>45932</v>
      </c>
      <c r="E826" s="4" t="str">
        <f>"1 Tag "</f>
        <v xml:space="preserve">1 Tag </v>
      </c>
      <c r="F826" s="17">
        <v>190</v>
      </c>
      <c r="G826" s="4" t="s">
        <v>14</v>
      </c>
      <c r="H826" s="4" t="s">
        <v>11</v>
      </c>
    </row>
    <row r="827" spans="1:8" x14ac:dyDescent="0.2">
      <c r="A827" s="4" t="str">
        <f>"08.714/001/2025"</f>
        <v>08.714/001/2025</v>
      </c>
      <c r="B827" s="4" t="str">
        <f>"Auffrischung im Allgemeinen Verwaltungsrecht"</f>
        <v>Auffrischung im Allgemeinen Verwaltungsrecht</v>
      </c>
      <c r="C827" s="5">
        <v>45700</v>
      </c>
      <c r="D827" s="5">
        <v>45701</v>
      </c>
      <c r="E827" s="4" t="str">
        <f>"2 Tage"</f>
        <v>2 Tage</v>
      </c>
      <c r="F827" s="17">
        <v>430</v>
      </c>
      <c r="G827" s="4" t="s">
        <v>14</v>
      </c>
      <c r="H827" s="4" t="s">
        <v>11</v>
      </c>
    </row>
    <row r="828" spans="1:8" x14ac:dyDescent="0.2">
      <c r="A828" s="4" t="str">
        <f>"08.714/002/2025"</f>
        <v>08.714/002/2025</v>
      </c>
      <c r="B828" s="4" t="str">
        <f>"Auffrischung im Allgemeinen Verwaltungsrecht"</f>
        <v>Auffrischung im Allgemeinen Verwaltungsrecht</v>
      </c>
      <c r="C828" s="5">
        <v>45897</v>
      </c>
      <c r="D828" s="5">
        <v>45898</v>
      </c>
      <c r="E828" s="4" t="str">
        <f>"2 Tage"</f>
        <v>2 Tage</v>
      </c>
      <c r="F828" s="17">
        <v>430</v>
      </c>
      <c r="G828" s="4" t="s">
        <v>14</v>
      </c>
      <c r="H828" s="4" t="s">
        <v>11</v>
      </c>
    </row>
    <row r="829" spans="1:8" x14ac:dyDescent="0.2">
      <c r="A829" s="4" t="str">
        <f>"08.716/001/2025"</f>
        <v>08.716/001/2025</v>
      </c>
      <c r="B829" s="4" t="str">
        <f>"Grundlagen der Verwaltungsarbeit - neu in der Vorgangsbearbeitung"</f>
        <v>Grundlagen der Verwaltungsarbeit - neu in der Vorgangsbearbeitung</v>
      </c>
      <c r="C829" s="5">
        <v>45994</v>
      </c>
      <c r="D829" s="5">
        <v>45995</v>
      </c>
      <c r="E829" s="4" t="str">
        <f>"2 Tage"</f>
        <v>2 Tage</v>
      </c>
      <c r="F829" s="17">
        <v>430</v>
      </c>
      <c r="G829" s="4" t="s">
        <v>17</v>
      </c>
      <c r="H829" s="4" t="s">
        <v>11</v>
      </c>
    </row>
    <row r="830" spans="1:8" x14ac:dyDescent="0.2">
      <c r="A830" s="4" t="str">
        <f>"08.718/001/2025"</f>
        <v>08.718/001/2025</v>
      </c>
      <c r="B830" s="4" t="str">
        <f>"Grundlagen des Verwaltungshandelns und der Verwaltungsarbeit"</f>
        <v>Grundlagen des Verwaltungshandelns und der Verwaltungsarbeit</v>
      </c>
      <c r="C830" s="5">
        <v>45755</v>
      </c>
      <c r="D830" s="5">
        <v>45756</v>
      </c>
      <c r="E830" s="4" t="str">
        <f>"2 Tage"</f>
        <v>2 Tage</v>
      </c>
      <c r="F830" s="17">
        <v>430</v>
      </c>
      <c r="G830" s="4" t="s">
        <v>14</v>
      </c>
      <c r="H830" s="4" t="s">
        <v>11</v>
      </c>
    </row>
    <row r="831" spans="1:8" x14ac:dyDescent="0.2">
      <c r="A831" s="4" t="str">
        <f>"08.718/002/2025"</f>
        <v>08.718/002/2025</v>
      </c>
      <c r="B831" s="4" t="str">
        <f>"Grundlagen des Verwaltungshandelns und der Verwaltungsarbeit"</f>
        <v>Grundlagen des Verwaltungshandelns und der Verwaltungsarbeit</v>
      </c>
      <c r="C831" s="5">
        <v>45995</v>
      </c>
      <c r="D831" s="5">
        <v>45996</v>
      </c>
      <c r="E831" s="4" t="str">
        <f>"2 Tage"</f>
        <v>2 Tage</v>
      </c>
      <c r="F831" s="17">
        <v>430</v>
      </c>
      <c r="G831" s="4" t="s">
        <v>14</v>
      </c>
      <c r="H831" s="4" t="s">
        <v>11</v>
      </c>
    </row>
    <row r="832" spans="1:8" x14ac:dyDescent="0.2">
      <c r="A832" s="4" t="str">
        <f>"08.720/001/2025"</f>
        <v>08.720/001/2025</v>
      </c>
      <c r="B832" s="4" t="str">
        <f>"Korruptionsprävention"</f>
        <v>Korruptionsprävention</v>
      </c>
      <c r="C832" s="5">
        <v>45821</v>
      </c>
      <c r="D832" s="5">
        <v>45821</v>
      </c>
      <c r="E832" s="4" t="str">
        <f>"1 Tag"</f>
        <v>1 Tag</v>
      </c>
      <c r="F832" s="17">
        <v>190</v>
      </c>
      <c r="G832" s="4" t="s">
        <v>14</v>
      </c>
      <c r="H832" s="4" t="s">
        <v>11</v>
      </c>
    </row>
    <row r="833" spans="1:8" x14ac:dyDescent="0.2">
      <c r="A833" s="4" t="str">
        <f>"08.724/001/2025"</f>
        <v>08.724/001/2025</v>
      </c>
      <c r="B833" s="4" t="str">
        <f>"Korruptionsprävention als Organisationsaufgabe"</f>
        <v>Korruptionsprävention als Organisationsaufgabe</v>
      </c>
      <c r="C833" s="5">
        <v>45971</v>
      </c>
      <c r="D833" s="5">
        <v>45971</v>
      </c>
      <c r="E833" s="4" t="str">
        <f>"1 Tag"</f>
        <v>1 Tag</v>
      </c>
      <c r="F833" s="17">
        <v>190</v>
      </c>
      <c r="G833" s="4" t="s">
        <v>14</v>
      </c>
      <c r="H833" s="4" t="s">
        <v>11</v>
      </c>
    </row>
    <row r="834" spans="1:8" x14ac:dyDescent="0.2">
      <c r="A834" s="4" t="str">
        <f>"08.726/001/2025"</f>
        <v>08.726/001/2025</v>
      </c>
      <c r="B834" s="4" t="str">
        <f>"Korruptionsprävention im Vergaberecht"</f>
        <v>Korruptionsprävention im Vergaberecht</v>
      </c>
      <c r="C834" s="5">
        <v>45720</v>
      </c>
      <c r="D834" s="5">
        <v>45720</v>
      </c>
      <c r="E834" s="4" t="str">
        <f>"1 Tag"</f>
        <v>1 Tag</v>
      </c>
      <c r="F834" s="17">
        <v>290</v>
      </c>
      <c r="G834" s="4" t="s">
        <v>14</v>
      </c>
      <c r="H834" s="4" t="s">
        <v>11</v>
      </c>
    </row>
    <row r="835" spans="1:8" x14ac:dyDescent="0.2">
      <c r="A835" s="4" t="str">
        <f>"08.726/002/2025"</f>
        <v>08.726/002/2025</v>
      </c>
      <c r="B835" s="4" t="str">
        <f>"Korruptionsprävention im Vergaberecht"</f>
        <v>Korruptionsprävention im Vergaberecht</v>
      </c>
      <c r="C835" s="5">
        <v>45932</v>
      </c>
      <c r="D835" s="5">
        <v>45932</v>
      </c>
      <c r="E835" s="4" t="str">
        <f>"1 Tag"</f>
        <v>1 Tag</v>
      </c>
      <c r="F835" s="17">
        <v>290</v>
      </c>
      <c r="G835" s="4" t="s">
        <v>14</v>
      </c>
      <c r="H835" s="4" t="s">
        <v>11</v>
      </c>
    </row>
    <row r="836" spans="1:8" x14ac:dyDescent="0.2">
      <c r="A836" s="4" t="str">
        <f>"08.732/001/2025"</f>
        <v>08.732/001/2025</v>
      </c>
      <c r="B836" s="4" t="str">
        <f>"Ordnungswidrigkeitenrecht - Grundlagen"</f>
        <v>Ordnungswidrigkeitenrecht - Grundlagen</v>
      </c>
      <c r="C836" s="5">
        <v>45679</v>
      </c>
      <c r="D836" s="5">
        <v>45681</v>
      </c>
      <c r="E836" s="4" t="str">
        <f>"3 Tage"</f>
        <v>3 Tage</v>
      </c>
      <c r="F836" s="17">
        <v>670</v>
      </c>
      <c r="G836" s="4" t="s">
        <v>14</v>
      </c>
      <c r="H836" s="4" t="s">
        <v>11</v>
      </c>
    </row>
    <row r="837" spans="1:8" x14ac:dyDescent="0.2">
      <c r="A837" s="4" t="str">
        <f>"08.732/002/2025"</f>
        <v>08.732/002/2025</v>
      </c>
      <c r="B837" s="4" t="str">
        <f>"Ordnungswidrigkeitenrecht - Grundlagen"</f>
        <v>Ordnungswidrigkeitenrecht - Grundlagen</v>
      </c>
      <c r="C837" s="5">
        <v>45812</v>
      </c>
      <c r="D837" s="5">
        <v>45814</v>
      </c>
      <c r="E837" s="4" t="str">
        <f>"3 Tage"</f>
        <v>3 Tage</v>
      </c>
      <c r="F837" s="17">
        <v>670</v>
      </c>
      <c r="G837" s="4" t="s">
        <v>14</v>
      </c>
      <c r="H837" s="4" t="s">
        <v>11</v>
      </c>
    </row>
    <row r="838" spans="1:8" x14ac:dyDescent="0.2">
      <c r="A838" s="4" t="str">
        <f>"08.740/001/2025"</f>
        <v>08.740/001/2025</v>
      </c>
      <c r="B838" s="4" t="str">
        <f>"Planfeststellungsverfahren - Anspruch an und Herausforderung für das behördliche Handeln"</f>
        <v>Planfeststellungsverfahren - Anspruch an und Herausforderung für das behördliche Handeln</v>
      </c>
      <c r="C838" s="5">
        <v>45756</v>
      </c>
      <c r="D838" s="5">
        <v>45758</v>
      </c>
      <c r="E838" s="4" t="str">
        <f>"3 Tage"</f>
        <v>3 Tage</v>
      </c>
      <c r="F838" s="17">
        <v>980</v>
      </c>
      <c r="G838" s="4" t="s">
        <v>14</v>
      </c>
      <c r="H838" s="4" t="s">
        <v>11</v>
      </c>
    </row>
    <row r="839" spans="1:8" x14ac:dyDescent="0.2">
      <c r="A839" s="4" t="str">
        <f>"08.740/002/2025"</f>
        <v>08.740/002/2025</v>
      </c>
      <c r="B839" s="4" t="str">
        <f>"Planfeststellungsverfahren - Anspruch an und Herausforderung für das behördliche Handeln"</f>
        <v>Planfeststellungsverfahren - Anspruch an und Herausforderung für das behördliche Handeln</v>
      </c>
      <c r="C839" s="5">
        <v>45924</v>
      </c>
      <c r="D839" s="5">
        <v>45926</v>
      </c>
      <c r="E839" s="4" t="str">
        <f>"3 Tage"</f>
        <v>3 Tage</v>
      </c>
      <c r="F839" s="17">
        <v>980</v>
      </c>
      <c r="G839" s="4" t="s">
        <v>14</v>
      </c>
      <c r="H839" s="4" t="s">
        <v>11</v>
      </c>
    </row>
    <row r="840" spans="1:8" x14ac:dyDescent="0.2">
      <c r="A840" s="4" t="str">
        <f>"08.742/001/2025"</f>
        <v>08.742/001/2025</v>
      </c>
      <c r="B840" s="4" t="str">
        <f>"Durchführung von Erörterungsterminen"</f>
        <v>Durchführung von Erörterungsterminen</v>
      </c>
      <c r="C840" s="5">
        <v>45789</v>
      </c>
      <c r="D840" s="5">
        <v>45791</v>
      </c>
      <c r="E840" s="4" t="str">
        <f>"3 Tage"</f>
        <v>3 Tage</v>
      </c>
      <c r="F840" s="17">
        <v>980</v>
      </c>
      <c r="G840" s="4" t="s">
        <v>14</v>
      </c>
      <c r="H840" s="4" t="s">
        <v>11</v>
      </c>
    </row>
    <row r="841" spans="1:8" x14ac:dyDescent="0.2">
      <c r="A841" s="4" t="str">
        <f>"08.743/001/2025"</f>
        <v>08.743/001/2025</v>
      </c>
      <c r="B841" s="4" t="str">
        <f>"Planungs- und Umweltverfahrensrecht - Grundlagen"</f>
        <v>Planungs- und Umweltverfahrensrecht - Grundlagen</v>
      </c>
      <c r="C841" s="5">
        <v>45785</v>
      </c>
      <c r="D841" s="5">
        <v>45786</v>
      </c>
      <c r="E841" s="4" t="str">
        <f>"2 Tage"</f>
        <v>2 Tage</v>
      </c>
      <c r="F841" s="17">
        <v>430</v>
      </c>
      <c r="G841" s="4" t="s">
        <v>14</v>
      </c>
      <c r="H841" s="4" t="s">
        <v>11</v>
      </c>
    </row>
    <row r="842" spans="1:8" x14ac:dyDescent="0.2">
      <c r="A842" s="4" t="str">
        <f>"08.750/001/2025"</f>
        <v>08.750/001/2025</v>
      </c>
      <c r="B842" s="4" t="str">
        <f>"Erstellung von Gesetzen, Verordnungen und Verwaltungsvorschriften"</f>
        <v>Erstellung von Gesetzen, Verordnungen und Verwaltungsvorschriften</v>
      </c>
      <c r="C842" s="5">
        <v>45804</v>
      </c>
      <c r="D842" s="5">
        <v>45853</v>
      </c>
      <c r="E842" s="4" t="str">
        <f>"2x2 Tage"</f>
        <v>2x2 Tage</v>
      </c>
      <c r="F842" s="17">
        <v>1510</v>
      </c>
      <c r="G842" s="4"/>
      <c r="H842" s="4" t="s">
        <v>11</v>
      </c>
    </row>
    <row r="843" spans="1:8" x14ac:dyDescent="0.2">
      <c r="A843" s="4" t="str">
        <f>"08.750/001 a/2025"</f>
        <v>08.750/001 a/2025</v>
      </c>
      <c r="B843" s="4" t="str">
        <f>"Erstellung von Gesetzen, Verordnungen und Verwaltungsvorschriften "</f>
        <v xml:space="preserve">Erstellung von Gesetzen, Verordnungen und Verwaltungsvorschriften </v>
      </c>
      <c r="C843" s="5">
        <v>45804</v>
      </c>
      <c r="D843" s="5">
        <v>45805</v>
      </c>
      <c r="E843" s="4"/>
      <c r="F843" s="17"/>
      <c r="G843" s="4" t="s">
        <v>14</v>
      </c>
      <c r="H843" s="4" t="s">
        <v>11</v>
      </c>
    </row>
    <row r="844" spans="1:8" x14ac:dyDescent="0.2">
      <c r="A844" s="4" t="str">
        <f>"08.750/001 b/2025"</f>
        <v>08.750/001 b/2025</v>
      </c>
      <c r="B844" s="4" t="str">
        <f>"Erstellung von Gesetzen, Verordnungen und Verwaltungsvorschriften "</f>
        <v xml:space="preserve">Erstellung von Gesetzen, Verordnungen und Verwaltungsvorschriften </v>
      </c>
      <c r="C844" s="5">
        <v>45852</v>
      </c>
      <c r="D844" s="5">
        <v>45853</v>
      </c>
      <c r="E844" s="4"/>
      <c r="F844" s="17"/>
      <c r="G844" s="4" t="s">
        <v>14</v>
      </c>
      <c r="H844" s="4" t="s">
        <v>11</v>
      </c>
    </row>
    <row r="845" spans="1:8" x14ac:dyDescent="0.2">
      <c r="A845" s="4" t="str">
        <f>"08.760/001/2025"</f>
        <v>08.760/001/2025</v>
      </c>
      <c r="B845" s="4" t="str">
        <f>"Datenschutzrecht NRW - Grundlagen"</f>
        <v>Datenschutzrecht NRW - Grundlagen</v>
      </c>
      <c r="C845" s="5">
        <v>45775</v>
      </c>
      <c r="D845" s="5">
        <v>45776</v>
      </c>
      <c r="E845" s="4" t="str">
        <f>"2 Tage"</f>
        <v>2 Tage</v>
      </c>
      <c r="F845" s="17">
        <v>430</v>
      </c>
      <c r="G845" s="4" t="s">
        <v>14</v>
      </c>
      <c r="H845" s="4" t="s">
        <v>11</v>
      </c>
    </row>
    <row r="846" spans="1:8" x14ac:dyDescent="0.2">
      <c r="A846" s="4" t="str">
        <f>"08.760/002/2025"</f>
        <v>08.760/002/2025</v>
      </c>
      <c r="B846" s="4" t="str">
        <f>"Datenschutzrecht NRW - Grundlagen"</f>
        <v>Datenschutzrecht NRW - Grundlagen</v>
      </c>
      <c r="C846" s="5">
        <v>45943</v>
      </c>
      <c r="D846" s="5">
        <v>45944</v>
      </c>
      <c r="E846" s="4" t="str">
        <f>"2 Tage"</f>
        <v>2 Tage</v>
      </c>
      <c r="F846" s="17">
        <v>430</v>
      </c>
      <c r="G846" s="4" t="s">
        <v>14</v>
      </c>
      <c r="H846" s="4" t="s">
        <v>11</v>
      </c>
    </row>
    <row r="847" spans="1:8" x14ac:dyDescent="0.2">
      <c r="A847" s="4" t="str">
        <f>"08.762/001/2025"</f>
        <v>08.762/001/2025</v>
      </c>
      <c r="B847" s="4" t="str">
        <f>"Informationsfreiheitsgesetz NRW (IFG) und Umweltinformationsgesetz (UIG)"</f>
        <v>Informationsfreiheitsgesetz NRW (IFG) und Umweltinformationsgesetz (UIG)</v>
      </c>
      <c r="C847" s="5">
        <v>45824</v>
      </c>
      <c r="D847" s="5">
        <v>45824</v>
      </c>
      <c r="E847" s="4" t="str">
        <f>"1 Tag"</f>
        <v>1 Tag</v>
      </c>
      <c r="F847" s="17">
        <v>190</v>
      </c>
      <c r="G847" s="4" t="s">
        <v>14</v>
      </c>
      <c r="H847" s="4" t="s">
        <v>11</v>
      </c>
    </row>
    <row r="848" spans="1:8" x14ac:dyDescent="0.2">
      <c r="A848" s="4" t="str">
        <f>"08.764/001/2025"</f>
        <v>08.764/001/2025</v>
      </c>
      <c r="B848" s="4" t="str">
        <f>"Datenschutzrecht und IT-Sicherheit - Vertiefungsworkshop"</f>
        <v>Datenschutzrecht und IT-Sicherheit - Vertiefungsworkshop</v>
      </c>
      <c r="C848" s="5">
        <v>45743</v>
      </c>
      <c r="D848" s="5">
        <v>45744</v>
      </c>
      <c r="E848" s="4" t="str">
        <f>"2 Tage"</f>
        <v>2 Tage</v>
      </c>
      <c r="F848" s="17">
        <v>760</v>
      </c>
      <c r="G848" s="4" t="s">
        <v>14</v>
      </c>
      <c r="H848" s="4" t="s">
        <v>11</v>
      </c>
    </row>
    <row r="849" spans="1:8" x14ac:dyDescent="0.2">
      <c r="A849" s="4" t="str">
        <f>"08.764/002/2025"</f>
        <v>08.764/002/2025</v>
      </c>
      <c r="B849" s="4" t="str">
        <f>"Datenschutzrecht und IT-Sicherheit - Vertiefungsworkshop"</f>
        <v>Datenschutzrecht und IT-Sicherheit - Vertiefungsworkshop</v>
      </c>
      <c r="C849" s="5">
        <v>45859</v>
      </c>
      <c r="D849" s="5">
        <v>45860</v>
      </c>
      <c r="E849" s="4" t="str">
        <f>"2 Tage"</f>
        <v>2 Tage</v>
      </c>
      <c r="F849" s="17">
        <v>760</v>
      </c>
      <c r="G849" s="4" t="s">
        <v>14</v>
      </c>
      <c r="H849" s="4" t="s">
        <v>11</v>
      </c>
    </row>
    <row r="850" spans="1:8" x14ac:dyDescent="0.2">
      <c r="A850" s="4" t="str">
        <f>"08.766/001/2025"</f>
        <v>08.766/001/2025</v>
      </c>
      <c r="B850" s="4" t="str">
        <f>"Datenschutzrecht NRW - Workshop"</f>
        <v>Datenschutzrecht NRW - Workshop</v>
      </c>
      <c r="C850" s="5">
        <v>45835</v>
      </c>
      <c r="D850" s="5">
        <v>45835</v>
      </c>
      <c r="E850" s="4" t="str">
        <f>"1 Tag"</f>
        <v>1 Tag</v>
      </c>
      <c r="F850" s="17">
        <v>190</v>
      </c>
      <c r="G850" s="4" t="s">
        <v>14</v>
      </c>
      <c r="H850" s="4" t="s">
        <v>11</v>
      </c>
    </row>
    <row r="851" spans="1:8" x14ac:dyDescent="0.2">
      <c r="A851" s="4" t="str">
        <f>"08.770/001/2025"</f>
        <v>08.770/001/2025</v>
      </c>
      <c r="B851" s="4" t="str">
        <f>"Urheberrecht"</f>
        <v>Urheberrecht</v>
      </c>
      <c r="C851" s="5">
        <v>45835</v>
      </c>
      <c r="D851" s="5">
        <v>45835</v>
      </c>
      <c r="E851" s="4" t="str">
        <f>"1 Tag"</f>
        <v>1 Tag</v>
      </c>
      <c r="F851" s="17">
        <v>190</v>
      </c>
      <c r="G851" s="4" t="s">
        <v>14</v>
      </c>
      <c r="H851" s="4" t="s">
        <v>11</v>
      </c>
    </row>
    <row r="852" spans="1:8" x14ac:dyDescent="0.2">
      <c r="A852" s="4" t="str">
        <f>"08.772/001/2025"</f>
        <v>08.772/001/2025</v>
      </c>
      <c r="B852" s="4" t="str">
        <f>"Ihr Auftritt vor Gericht - Verhandlungsführung und Prozesstaktik"</f>
        <v>Ihr Auftritt vor Gericht - Verhandlungsführung und Prozesstaktik</v>
      </c>
      <c r="C852" s="5">
        <v>45820</v>
      </c>
      <c r="D852" s="5">
        <v>45821</v>
      </c>
      <c r="E852" s="4" t="str">
        <f>"2 Tage"</f>
        <v>2 Tage</v>
      </c>
      <c r="F852" s="17">
        <v>430</v>
      </c>
      <c r="G852" s="4" t="s">
        <v>14</v>
      </c>
      <c r="H852" s="4" t="s">
        <v>11</v>
      </c>
    </row>
    <row r="853" spans="1:8" x14ac:dyDescent="0.2">
      <c r="A853" s="4" t="str">
        <f>"08.778/001/2025"</f>
        <v>08.778/001/2025</v>
      </c>
      <c r="B853" s="4" t="str">
        <f>"Sozialrecht - Grundlagen"</f>
        <v>Sozialrecht - Grundlagen</v>
      </c>
      <c r="C853" s="5">
        <v>45800</v>
      </c>
      <c r="D853" s="5">
        <v>45800</v>
      </c>
      <c r="E853" s="4" t="str">
        <f>"1 Tag"</f>
        <v>1 Tag</v>
      </c>
      <c r="F853" s="17">
        <v>190</v>
      </c>
      <c r="G853" s="4" t="s">
        <v>14</v>
      </c>
      <c r="H853" s="4" t="s">
        <v>11</v>
      </c>
    </row>
    <row r="854" spans="1:8" x14ac:dyDescent="0.2">
      <c r="A854" s="4" t="str">
        <f>"08.784/001/2025"</f>
        <v>08.784/001/2025</v>
      </c>
      <c r="B854" s="4" t="str">
        <f>"Asylrecht"</f>
        <v>Asylrecht</v>
      </c>
      <c r="C854" s="5">
        <v>45785</v>
      </c>
      <c r="D854" s="5">
        <v>45786</v>
      </c>
      <c r="E854" s="4" t="str">
        <f>"2 Tage"</f>
        <v>2 Tage</v>
      </c>
      <c r="F854" s="17">
        <v>430</v>
      </c>
      <c r="G854" s="4" t="s">
        <v>14</v>
      </c>
      <c r="H854" s="4" t="s">
        <v>11</v>
      </c>
    </row>
    <row r="855" spans="1:8" x14ac:dyDescent="0.2">
      <c r="A855" s="4" t="str">
        <f>"08.784/002/2025"</f>
        <v>08.784/002/2025</v>
      </c>
      <c r="B855" s="4" t="str">
        <f>"Asylrecht"</f>
        <v>Asylrecht</v>
      </c>
      <c r="C855" s="5">
        <v>45922</v>
      </c>
      <c r="D855" s="5">
        <v>45923</v>
      </c>
      <c r="E855" s="4" t="str">
        <f>"2 Tage"</f>
        <v>2 Tage</v>
      </c>
      <c r="F855" s="17">
        <v>430</v>
      </c>
      <c r="G855" s="4" t="s">
        <v>14</v>
      </c>
      <c r="H855" s="4" t="s">
        <v>11</v>
      </c>
    </row>
    <row r="856" spans="1:8" x14ac:dyDescent="0.2">
      <c r="A856" s="4" t="str">
        <f>"08.786/001/2025"</f>
        <v>08.786/001/2025</v>
      </c>
      <c r="B856" s="4" t="str">
        <f>"Neu im Ministerium - ministerielle Arbeitsweisen und Besonderheiten"</f>
        <v>Neu im Ministerium - ministerielle Arbeitsweisen und Besonderheiten</v>
      </c>
      <c r="C856" s="5">
        <v>45769</v>
      </c>
      <c r="D856" s="5">
        <v>45770</v>
      </c>
      <c r="E856" s="4" t="str">
        <f>"2 Tage"</f>
        <v>2 Tage</v>
      </c>
      <c r="F856" s="17">
        <v>630</v>
      </c>
      <c r="G856" s="4" t="s">
        <v>14</v>
      </c>
      <c r="H856" s="4" t="s">
        <v>22</v>
      </c>
    </row>
    <row r="857" spans="1:8" x14ac:dyDescent="0.2">
      <c r="A857" s="4" t="str">
        <f>"08.786/002/2025"</f>
        <v>08.786/002/2025</v>
      </c>
      <c r="B857" s="4" t="str">
        <f>"Neu im Ministerium - ministerielle Arbeitsweisen und Besonderheiten"</f>
        <v>Neu im Ministerium - ministerielle Arbeitsweisen und Besonderheiten</v>
      </c>
      <c r="C857" s="5">
        <v>45917</v>
      </c>
      <c r="D857" s="5">
        <v>45918</v>
      </c>
      <c r="E857" s="4" t="str">
        <f>"2 Tage"</f>
        <v>2 Tage</v>
      </c>
      <c r="F857" s="17">
        <v>630</v>
      </c>
      <c r="G857" s="4" t="s">
        <v>14</v>
      </c>
      <c r="H857" s="4" t="s">
        <v>22</v>
      </c>
    </row>
    <row r="858" spans="1:8" x14ac:dyDescent="0.2">
      <c r="A858" s="4" t="str">
        <f>"08.788/001/2025"</f>
        <v>08.788/001/2025</v>
      </c>
      <c r="B858" s="4" t="str">
        <f>"Aufgaben, Rechte und Pflichten von Mandatsträgerinnen und -trägern in Aufsichtsgremien von Beteiligungsunternehmen des Landes"</f>
        <v>Aufgaben, Rechte und Pflichten von Mandatsträgerinnen und -trägern in Aufsichtsgremien von Beteiligungsunternehmen des Landes</v>
      </c>
      <c r="C858" s="5">
        <v>45751</v>
      </c>
      <c r="D858" s="5">
        <v>45751</v>
      </c>
      <c r="E858" s="4" t="str">
        <f>"1 Tag"</f>
        <v>1 Tag</v>
      </c>
      <c r="F858" s="17">
        <v>190</v>
      </c>
      <c r="G858" s="4" t="s">
        <v>14</v>
      </c>
      <c r="H858" s="4" t="s">
        <v>22</v>
      </c>
    </row>
    <row r="859" spans="1:8" x14ac:dyDescent="0.2">
      <c r="A859" s="4" t="str">
        <f>"08.788/002/2025"</f>
        <v>08.788/002/2025</v>
      </c>
      <c r="B859" s="4" t="str">
        <f>"Aufgaben, Rechte und Pflichten von Mandatsträgerinnen und -trägern in Aufsichtsgremien von Beteiligungsunternehmen des Landes"</f>
        <v>Aufgaben, Rechte und Pflichten von Mandatsträgerinnen und -trägern in Aufsichtsgremien von Beteiligungsunternehmen des Landes</v>
      </c>
      <c r="C859" s="5">
        <v>45912</v>
      </c>
      <c r="D859" s="5">
        <v>45912</v>
      </c>
      <c r="E859" s="4" t="str">
        <f>"1 Tag"</f>
        <v>1 Tag</v>
      </c>
      <c r="F859" s="17">
        <v>190</v>
      </c>
      <c r="G859" s="4" t="s">
        <v>14</v>
      </c>
      <c r="H859" s="4" t="s">
        <v>22</v>
      </c>
    </row>
    <row r="860" spans="1:8" x14ac:dyDescent="0.2">
      <c r="A860" s="4" t="str">
        <f>"08.792/001/2025"</f>
        <v>08.792/001/2025</v>
      </c>
      <c r="B860" s="4" t="str">
        <f>"Veranstaltungsleitung rechtskonform wahrnehmen"</f>
        <v>Veranstaltungsleitung rechtskonform wahrnehmen</v>
      </c>
      <c r="C860" s="5">
        <v>45852</v>
      </c>
      <c r="D860" s="5">
        <v>45854</v>
      </c>
      <c r="E860" s="4" t="str">
        <f>"3 Tage"</f>
        <v>3 Tage</v>
      </c>
      <c r="F860" s="17">
        <v>470</v>
      </c>
      <c r="G860" s="4" t="s">
        <v>14</v>
      </c>
      <c r="H860" s="4" t="s">
        <v>22</v>
      </c>
    </row>
    <row r="861" spans="1:8" x14ac:dyDescent="0.2">
      <c r="A861" s="4" t="str">
        <f>"08.820/001/2025"</f>
        <v>08.820/001/2025</v>
      </c>
      <c r="B861" s="4" t="str">
        <f>"Neu in der Landesverwaltung für LG 2.1"</f>
        <v>Neu in der Landesverwaltung für LG 2.1</v>
      </c>
      <c r="C861" s="5">
        <v>45677</v>
      </c>
      <c r="D861" s="5">
        <v>45842</v>
      </c>
      <c r="E861" s="4" t="s">
        <v>15</v>
      </c>
      <c r="F861" s="17">
        <v>1920</v>
      </c>
      <c r="G861" s="4"/>
      <c r="H861" s="4" t="s">
        <v>22</v>
      </c>
    </row>
    <row r="862" spans="1:8" x14ac:dyDescent="0.2">
      <c r="A862" s="4" t="str">
        <f>"08.820/001 a/2025"</f>
        <v>08.820/001 a/2025</v>
      </c>
      <c r="B862" s="4" t="str">
        <f>"Neu in der Landesverwaltung für LG 2.1 -  Moderne Verwaltung einfach und sicher: Digitale Schriftgutverwaltung und elektronische Aktenführung"</f>
        <v>Neu in der Landesverwaltung für LG 2.1 -  Moderne Verwaltung einfach und sicher: Digitale Schriftgutverwaltung und elektronische Aktenführung</v>
      </c>
      <c r="C862" s="5">
        <v>45677</v>
      </c>
      <c r="D862" s="5">
        <v>45678</v>
      </c>
      <c r="E862" s="4"/>
      <c r="F862" s="17"/>
      <c r="G862" s="4" t="s">
        <v>14</v>
      </c>
      <c r="H862" s="4" t="s">
        <v>11</v>
      </c>
    </row>
    <row r="863" spans="1:8" x14ac:dyDescent="0.2">
      <c r="A863" s="4" t="str">
        <f>"08.820/001 b/2025"</f>
        <v>08.820/001 b/2025</v>
      </c>
      <c r="B863" s="4" t="str">
        <f>"Neu in der Landesverwaltung für LG 2.1 - Grundlagen des Verwaltungshandelns und der Verwaltungspraxis-Teil I"</f>
        <v>Neu in der Landesverwaltung für LG 2.1 - Grundlagen des Verwaltungshandelns und der Verwaltungspraxis-Teil I</v>
      </c>
      <c r="C863" s="5">
        <v>45712</v>
      </c>
      <c r="D863" s="5">
        <v>45713</v>
      </c>
      <c r="E863" s="4"/>
      <c r="F863" s="17"/>
      <c r="G863" s="4" t="s">
        <v>14</v>
      </c>
      <c r="H863" s="4" t="s">
        <v>11</v>
      </c>
    </row>
    <row r="864" spans="1:8" x14ac:dyDescent="0.2">
      <c r="A864" s="4" t="str">
        <f>"08.820/001 c/2025"</f>
        <v>08.820/001 c/2025</v>
      </c>
      <c r="B864" s="4" t="str">
        <f>"Neu in der Landesverwaltung für LG 2.1 - Grundlagen des Verwaltungshandelns und der Verwaltungspraxis- Teil II - online"</f>
        <v>Neu in der Landesverwaltung für LG 2.1 - Grundlagen des Verwaltungshandelns und der Verwaltungspraxis- Teil II - online</v>
      </c>
      <c r="C864" s="5">
        <v>45772</v>
      </c>
      <c r="D864" s="5">
        <v>45772</v>
      </c>
      <c r="E864" s="4"/>
      <c r="F864" s="17"/>
      <c r="G864" s="4" t="s">
        <v>14</v>
      </c>
      <c r="H864" s="4" t="s">
        <v>11</v>
      </c>
    </row>
    <row r="865" spans="1:8" x14ac:dyDescent="0.2">
      <c r="A865" s="4" t="str">
        <f>"08.820/001 d/2025"</f>
        <v>08.820/001 d/2025</v>
      </c>
      <c r="B865" s="4" t="str">
        <f>"Neu in der Landesverwaltung für LG 2.1 - Haushaltsrechtliche und vergaberechtliche Grundlagen"</f>
        <v>Neu in der Landesverwaltung für LG 2.1 - Haushaltsrechtliche und vergaberechtliche Grundlagen</v>
      </c>
      <c r="C865" s="5">
        <v>45840</v>
      </c>
      <c r="D865" s="5">
        <v>45842</v>
      </c>
      <c r="E865" s="4"/>
      <c r="F865" s="17"/>
      <c r="G865" s="4" t="s">
        <v>14</v>
      </c>
      <c r="H865" s="4" t="s">
        <v>11</v>
      </c>
    </row>
    <row r="866" spans="1:8" x14ac:dyDescent="0.2">
      <c r="A866" s="4" t="str">
        <f>"08.820/002/2025"</f>
        <v>08.820/002/2025</v>
      </c>
      <c r="B866" s="4" t="str">
        <f>"Neu in der Landesverwaltung für LG 2.1"</f>
        <v>Neu in der Landesverwaltung für LG 2.1</v>
      </c>
      <c r="C866" s="5">
        <v>45894</v>
      </c>
      <c r="D866" s="5">
        <v>45994</v>
      </c>
      <c r="E866" s="4" t="s">
        <v>15</v>
      </c>
      <c r="F866" s="17">
        <v>1920</v>
      </c>
      <c r="G866" s="4"/>
      <c r="H866" s="4" t="s">
        <v>22</v>
      </c>
    </row>
    <row r="867" spans="1:8" x14ac:dyDescent="0.2">
      <c r="A867" s="4" t="str">
        <f>"08.820/002 a/2025"</f>
        <v>08.820/002 a/2025</v>
      </c>
      <c r="B867" s="4" t="str">
        <f>"Neu in der Landesverwaltung für LG 2.1 -  Moderne Verwaltung einfach und sicher: Digitale Schriftgutverwaltung und elektronische Aktenführung"</f>
        <v>Neu in der Landesverwaltung für LG 2.1 -  Moderne Verwaltung einfach und sicher: Digitale Schriftgutverwaltung und elektronische Aktenführung</v>
      </c>
      <c r="C867" s="5">
        <v>45894</v>
      </c>
      <c r="D867" s="5">
        <v>45895</v>
      </c>
      <c r="E867" s="4"/>
      <c r="F867" s="17"/>
      <c r="G867" s="4" t="s">
        <v>14</v>
      </c>
      <c r="H867" s="4" t="s">
        <v>11</v>
      </c>
    </row>
    <row r="868" spans="1:8" x14ac:dyDescent="0.2">
      <c r="A868" s="4" t="str">
        <f>"08.820/002 b/2025"</f>
        <v>08.820/002 b/2025</v>
      </c>
      <c r="B868" s="4" t="str">
        <f>"Neu in der Landesverwaltung für LG 2.1 - Grundlagen des Verwaltungshandelns und der Verwaltungspraxis-Teil I"</f>
        <v>Neu in der Landesverwaltung für LG 2.1 - Grundlagen des Verwaltungshandelns und der Verwaltungspraxis-Teil I</v>
      </c>
      <c r="C868" s="5">
        <v>45936</v>
      </c>
      <c r="D868" s="5">
        <v>45937</v>
      </c>
      <c r="E868" s="4"/>
      <c r="F868" s="17"/>
      <c r="G868" s="4" t="s">
        <v>14</v>
      </c>
      <c r="H868" s="4" t="s">
        <v>11</v>
      </c>
    </row>
    <row r="869" spans="1:8" x14ac:dyDescent="0.2">
      <c r="A869" s="4" t="str">
        <f>"08.820/002 c/2025"</f>
        <v>08.820/002 c/2025</v>
      </c>
      <c r="B869" s="4" t="str">
        <f>"Neu in der Landesverwaltung für LG 2.1 - Grundlagen des Verwaltungshandelns und der Verwaltungspraxis- Teil II - online"</f>
        <v>Neu in der Landesverwaltung für LG 2.1 - Grundlagen des Verwaltungshandelns und der Verwaltungspraxis- Teil II - online</v>
      </c>
      <c r="C869" s="5">
        <v>45975</v>
      </c>
      <c r="D869" s="5">
        <v>45975</v>
      </c>
      <c r="E869" s="4"/>
      <c r="F869" s="17"/>
      <c r="G869" s="4" t="s">
        <v>14</v>
      </c>
      <c r="H869" s="4" t="s">
        <v>11</v>
      </c>
    </row>
    <row r="870" spans="1:8" x14ac:dyDescent="0.2">
      <c r="A870" s="4" t="str">
        <f>"08.820/002 d/2025"</f>
        <v>08.820/002 d/2025</v>
      </c>
      <c r="B870" s="4" t="str">
        <f>"Neu in der Landesverwaltung für LG 2.1 - Haushaltsrechtliche und vergaberechtliche Grundlagen"</f>
        <v>Neu in der Landesverwaltung für LG 2.1 - Haushaltsrechtliche und vergaberechtliche Grundlagen</v>
      </c>
      <c r="C870" s="5">
        <v>45992</v>
      </c>
      <c r="D870" s="5">
        <v>45994</v>
      </c>
      <c r="E870" s="4"/>
      <c r="F870" s="17"/>
      <c r="G870" s="4" t="s">
        <v>14</v>
      </c>
      <c r="H870" s="4" t="s">
        <v>11</v>
      </c>
    </row>
    <row r="871" spans="1:8" x14ac:dyDescent="0.2">
      <c r="A871" s="4" t="str">
        <f>"08.830/001/2025"</f>
        <v>08.830/001/2025</v>
      </c>
      <c r="B871" s="4" t="str">
        <f>"Neu in der Landesverwaltung - eine Seminarreihe für Quereinsteiger in die LG1 der allgemeinen Verwaltung NRW - mit Online-Lernphasen"</f>
        <v>Neu in der Landesverwaltung - eine Seminarreihe für Quereinsteiger in die LG1 der allgemeinen Verwaltung NRW - mit Online-Lernphasen</v>
      </c>
      <c r="C871" s="5">
        <v>45663</v>
      </c>
      <c r="D871" s="5">
        <v>45805</v>
      </c>
      <c r="E871" s="4" t="s">
        <v>16</v>
      </c>
      <c r="F871" s="17">
        <v>3200</v>
      </c>
      <c r="G871" s="4"/>
      <c r="H871" s="4" t="s">
        <v>22</v>
      </c>
    </row>
    <row r="872" spans="1:8" x14ac:dyDescent="0.2">
      <c r="A872" s="4" t="str">
        <f>"08.830/001 a/2025"</f>
        <v>08.830/001 a/2025</v>
      </c>
      <c r="B872" s="4" t="str">
        <f>"Neu in der Landesverwaltung - Aufbau der Landesverwaltung"</f>
        <v>Neu in der Landesverwaltung - Aufbau der Landesverwaltung</v>
      </c>
      <c r="C872" s="5">
        <v>45663</v>
      </c>
      <c r="D872" s="5">
        <v>45667</v>
      </c>
      <c r="E872" s="4"/>
      <c r="F872" s="17"/>
      <c r="G872" s="4" t="s">
        <v>14</v>
      </c>
      <c r="H872" s="4" t="s">
        <v>11</v>
      </c>
    </row>
    <row r="873" spans="1:8" x14ac:dyDescent="0.2">
      <c r="A873" s="4" t="str">
        <f>"08.830/001 b/2025"</f>
        <v>08.830/001 b/2025</v>
      </c>
      <c r="B873" s="4" t="str">
        <f>"Neu in der Landesverwaltung - Aufbau der Landesverwaltung und Lernen lernen "</f>
        <v xml:space="preserve">Neu in der Landesverwaltung - Aufbau der Landesverwaltung und Lernen lernen </v>
      </c>
      <c r="C873" s="5">
        <v>45673</v>
      </c>
      <c r="D873" s="5">
        <v>45674</v>
      </c>
      <c r="E873" s="4"/>
      <c r="F873" s="17"/>
      <c r="G873" s="4" t="s">
        <v>14</v>
      </c>
      <c r="H873" s="4" t="s">
        <v>11</v>
      </c>
    </row>
    <row r="874" spans="1:8" x14ac:dyDescent="0.2">
      <c r="A874" s="4" t="str">
        <f>"08.830/001 c/2025"</f>
        <v>08.830/001 c/2025</v>
      </c>
      <c r="B874" s="4" t="str">
        <f>"Neu in der Landesverwaltung - Selbst- und Zeitmanagement "</f>
        <v xml:space="preserve">Neu in der Landesverwaltung - Selbst- und Zeitmanagement </v>
      </c>
      <c r="C874" s="5">
        <v>45681</v>
      </c>
      <c r="D874" s="5">
        <v>45702</v>
      </c>
      <c r="E874" s="4"/>
      <c r="F874" s="17"/>
      <c r="G874" s="4" t="s">
        <v>14</v>
      </c>
      <c r="H874" s="4" t="s">
        <v>11</v>
      </c>
    </row>
    <row r="875" spans="1:8" x14ac:dyDescent="0.2">
      <c r="A875" s="4" t="str">
        <f>"08.830/001 d/2025"</f>
        <v>08.830/001 d/2025</v>
      </c>
      <c r="B875" s="4" t="str">
        <f>"Neu in der Landesverwaltung - Verwaltungspraxis und Selbst- und Zeitmanagement"</f>
        <v>Neu in der Landesverwaltung - Verwaltungspraxis und Selbst- und Zeitmanagement</v>
      </c>
      <c r="C875" s="5">
        <v>45728</v>
      </c>
      <c r="D875" s="5">
        <v>45730</v>
      </c>
      <c r="E875" s="4"/>
      <c r="F875" s="17"/>
      <c r="G875" s="4" t="s">
        <v>14</v>
      </c>
      <c r="H875" s="4" t="s">
        <v>11</v>
      </c>
    </row>
    <row r="876" spans="1:8" x14ac:dyDescent="0.2">
      <c r="A876" s="4" t="str">
        <f>"08.830/001 e/2025"</f>
        <v>08.830/001 e/2025</v>
      </c>
      <c r="B876" s="4" t="str">
        <f>"Neu in der Landesverwaltung - Haushaltsrechtliche Grundlagen - Blended Learning"</f>
        <v>Neu in der Landesverwaltung - Haushaltsrechtliche Grundlagen - Blended Learning</v>
      </c>
      <c r="C876" s="5">
        <v>45758</v>
      </c>
      <c r="D876" s="5">
        <v>45772</v>
      </c>
      <c r="E876" s="4"/>
      <c r="F876" s="17"/>
      <c r="G876" s="4" t="s">
        <v>14</v>
      </c>
      <c r="H876" s="4" t="s">
        <v>11</v>
      </c>
    </row>
    <row r="877" spans="1:8" x14ac:dyDescent="0.2">
      <c r="A877" s="4" t="str">
        <f>"08.830/001 f/2025"</f>
        <v>08.830/001 f/2025</v>
      </c>
      <c r="B877" s="4" t="str">
        <f>"Neu in der Landesverwaltung - Produkthaushalt EPOS"</f>
        <v>Neu in der Landesverwaltung - Produkthaushalt EPOS</v>
      </c>
      <c r="C877" s="5">
        <v>45803</v>
      </c>
      <c r="D877" s="5">
        <v>45803</v>
      </c>
      <c r="E877" s="4"/>
      <c r="F877" s="17"/>
      <c r="G877" s="4" t="s">
        <v>14</v>
      </c>
      <c r="H877" s="4" t="s">
        <v>11</v>
      </c>
    </row>
    <row r="878" spans="1:8" x14ac:dyDescent="0.2">
      <c r="A878" s="4" t="str">
        <f>"08.830/001 g/2025"</f>
        <v>08.830/001 g/2025</v>
      </c>
      <c r="B878" s="4" t="str">
        <f>"Neu in der Landesverwaltung - Abschlussmodul "</f>
        <v xml:space="preserve">Neu in der Landesverwaltung - Abschlussmodul </v>
      </c>
      <c r="C878" s="5">
        <v>45804</v>
      </c>
      <c r="D878" s="5">
        <v>45805</v>
      </c>
      <c r="E878" s="4"/>
      <c r="F878" s="17"/>
      <c r="G878" s="4" t="s">
        <v>14</v>
      </c>
      <c r="H878" s="4" t="s">
        <v>11</v>
      </c>
    </row>
    <row r="879" spans="1:8" x14ac:dyDescent="0.2">
      <c r="A879" s="4" t="str">
        <f>"08.830/002/2025"</f>
        <v>08.830/002/2025</v>
      </c>
      <c r="B879" s="4" t="str">
        <f>"Neu in der Landesverwaltung - eine Seminarreihe für Quereinsteiger in die LG1 der allgemeinen Verwaltung NRW - mit Online-Lernphasen"</f>
        <v>Neu in der Landesverwaltung - eine Seminarreihe für Quereinsteiger in die LG1 der allgemeinen Verwaltung NRW - mit Online-Lernphasen</v>
      </c>
      <c r="C879" s="5">
        <v>45866</v>
      </c>
      <c r="D879" s="5">
        <v>45975</v>
      </c>
      <c r="E879" s="4" t="s">
        <v>16</v>
      </c>
      <c r="F879" s="17">
        <v>3200</v>
      </c>
      <c r="G879" s="4"/>
      <c r="H879" s="4" t="s">
        <v>22</v>
      </c>
    </row>
    <row r="880" spans="1:8" x14ac:dyDescent="0.2">
      <c r="A880" s="4" t="str">
        <f>"08.830/002 a/2025"</f>
        <v>08.830/002 a/2025</v>
      </c>
      <c r="B880" s="4" t="str">
        <f>"Neu in der Landesverwaltung - Aufbau der Landesverwaltung"</f>
        <v>Neu in der Landesverwaltung - Aufbau der Landesverwaltung</v>
      </c>
      <c r="C880" s="5">
        <v>45866</v>
      </c>
      <c r="D880" s="5">
        <v>45870</v>
      </c>
      <c r="E880" s="4"/>
      <c r="F880" s="17"/>
      <c r="G880" s="4" t="s">
        <v>14</v>
      </c>
      <c r="H880" s="4" t="s">
        <v>11</v>
      </c>
    </row>
    <row r="881" spans="1:8" x14ac:dyDescent="0.2">
      <c r="A881" s="4" t="str">
        <f>"08.830/002 b/2025"</f>
        <v>08.830/002 b/2025</v>
      </c>
      <c r="B881" s="4" t="str">
        <f>"Neu in der Landesverwaltung - Aufbau der Landesverwaltung und Lernen lernen "</f>
        <v xml:space="preserve">Neu in der Landesverwaltung - Aufbau der Landesverwaltung und Lernen lernen </v>
      </c>
      <c r="C881" s="5">
        <v>45894</v>
      </c>
      <c r="D881" s="5">
        <v>45895</v>
      </c>
      <c r="E881" s="4"/>
      <c r="F881" s="17"/>
      <c r="G881" s="4" t="s">
        <v>14</v>
      </c>
      <c r="H881" s="4" t="s">
        <v>11</v>
      </c>
    </row>
    <row r="882" spans="1:8" x14ac:dyDescent="0.2">
      <c r="A882" s="4" t="str">
        <f>"08.830/002 c/2025"</f>
        <v>08.830/002 c/2025</v>
      </c>
      <c r="B882" s="4" t="str">
        <f>"Neu in der Landesverwaltung - Selbst- und Zeitmanagement "</f>
        <v xml:space="preserve">Neu in der Landesverwaltung - Selbst- und Zeitmanagement </v>
      </c>
      <c r="C882" s="5">
        <v>45898</v>
      </c>
      <c r="D882" s="5">
        <v>45919</v>
      </c>
      <c r="E882" s="4"/>
      <c r="F882" s="17"/>
      <c r="G882" s="4" t="s">
        <v>14</v>
      </c>
      <c r="H882" s="4" t="s">
        <v>11</v>
      </c>
    </row>
    <row r="883" spans="1:8" x14ac:dyDescent="0.2">
      <c r="A883" s="4" t="str">
        <f>"08.830/002 d/2025"</f>
        <v>08.830/002 d/2025</v>
      </c>
      <c r="B883" s="4" t="str">
        <f>"Neu in der Landesverwaltung - Verwaltungspraxis und Selbst- und Zeitmanagement"</f>
        <v>Neu in der Landesverwaltung - Verwaltungspraxis und Selbst- und Zeitmanagement</v>
      </c>
      <c r="C883" s="5">
        <v>45924</v>
      </c>
      <c r="D883" s="5">
        <v>45926</v>
      </c>
      <c r="E883" s="4"/>
      <c r="F883" s="17"/>
      <c r="G883" s="4" t="s">
        <v>14</v>
      </c>
      <c r="H883" s="4" t="s">
        <v>11</v>
      </c>
    </row>
    <row r="884" spans="1:8" x14ac:dyDescent="0.2">
      <c r="A884" s="4" t="str">
        <f>"08.830/002 e/2025"</f>
        <v>08.830/002 e/2025</v>
      </c>
      <c r="B884" s="4" t="str">
        <f>"Neu in der Landesverwaltung - Haushaltsrechtliche Grundlagen - Blended Learning"</f>
        <v>Neu in der Landesverwaltung - Haushaltsrechtliche Grundlagen - Blended Learning</v>
      </c>
      <c r="C884" s="5">
        <v>45952</v>
      </c>
      <c r="D884" s="5">
        <v>45966</v>
      </c>
      <c r="E884" s="4"/>
      <c r="F884" s="17"/>
      <c r="G884" s="4" t="s">
        <v>14</v>
      </c>
      <c r="H884" s="4" t="s">
        <v>11</v>
      </c>
    </row>
    <row r="885" spans="1:8" x14ac:dyDescent="0.2">
      <c r="A885" s="4" t="str">
        <f>"08.830/002 f/2025"</f>
        <v>08.830/002 f/2025</v>
      </c>
      <c r="B885" s="4" t="str">
        <f>"Neu in der Landesverwaltung - Produkthaushalt EPOS"</f>
        <v>Neu in der Landesverwaltung - Produkthaushalt EPOS</v>
      </c>
      <c r="C885" s="5">
        <v>45973</v>
      </c>
      <c r="D885" s="5">
        <v>45973</v>
      </c>
      <c r="E885" s="4"/>
      <c r="F885" s="17"/>
      <c r="G885" s="4" t="s">
        <v>14</v>
      </c>
      <c r="H885" s="4" t="s">
        <v>11</v>
      </c>
    </row>
    <row r="886" spans="1:8" x14ac:dyDescent="0.2">
      <c r="A886" s="4" t="str">
        <f>"08.830/002 g/2025"</f>
        <v>08.830/002 g/2025</v>
      </c>
      <c r="B886" s="4" t="str">
        <f>"Neu in der Landesverwaltung - Abschlussmodul "</f>
        <v xml:space="preserve">Neu in der Landesverwaltung - Abschlussmodul </v>
      </c>
      <c r="C886" s="5">
        <v>45974</v>
      </c>
      <c r="D886" s="5">
        <v>45975</v>
      </c>
      <c r="E886" s="4"/>
      <c r="F886" s="17"/>
      <c r="G886" s="4" t="s">
        <v>14</v>
      </c>
      <c r="H886" s="4" t="s">
        <v>11</v>
      </c>
    </row>
    <row r="887" spans="1:8" x14ac:dyDescent="0.2">
      <c r="A887" s="4" t="str">
        <f>"09.110/001/2025"</f>
        <v>09.110/001/2025</v>
      </c>
      <c r="B887" s="4" t="str">
        <f t="shared" ref="B887:B896" si="36">"Die Europäische Union - ihre Organe und Entscheidungsprozesse"</f>
        <v>Die Europäische Union - ihre Organe und Entscheidungsprozesse</v>
      </c>
      <c r="C887" s="5">
        <v>45677</v>
      </c>
      <c r="D887" s="5">
        <v>45678</v>
      </c>
      <c r="E887" s="4" t="str">
        <f t="shared" ref="E887:E896" si="37">"2 Tage"</f>
        <v>2 Tage</v>
      </c>
      <c r="F887" s="17">
        <v>630</v>
      </c>
      <c r="G887" s="4" t="s">
        <v>18</v>
      </c>
      <c r="H887" s="4" t="s">
        <v>11</v>
      </c>
    </row>
    <row r="888" spans="1:8" x14ac:dyDescent="0.2">
      <c r="A888" s="4" t="str">
        <f>"09.110/002/2025"</f>
        <v>09.110/002/2025</v>
      </c>
      <c r="B888" s="4" t="str">
        <f t="shared" si="36"/>
        <v>Die Europäische Union - ihre Organe und Entscheidungsprozesse</v>
      </c>
      <c r="C888" s="5">
        <v>45729</v>
      </c>
      <c r="D888" s="5">
        <v>45730</v>
      </c>
      <c r="E888" s="4" t="str">
        <f t="shared" si="37"/>
        <v>2 Tage</v>
      </c>
      <c r="F888" s="17">
        <v>630</v>
      </c>
      <c r="G888" s="4" t="s">
        <v>18</v>
      </c>
      <c r="H888" s="4" t="s">
        <v>11</v>
      </c>
    </row>
    <row r="889" spans="1:8" x14ac:dyDescent="0.2">
      <c r="A889" s="4" t="str">
        <f>"09.110/003/2025"</f>
        <v>09.110/003/2025</v>
      </c>
      <c r="B889" s="4" t="str">
        <f t="shared" si="36"/>
        <v>Die Europäische Union - ihre Organe und Entscheidungsprozesse</v>
      </c>
      <c r="C889" s="5">
        <v>45727</v>
      </c>
      <c r="D889" s="5">
        <v>45728</v>
      </c>
      <c r="E889" s="4" t="str">
        <f t="shared" si="37"/>
        <v>2 Tage</v>
      </c>
      <c r="F889" s="17">
        <v>630</v>
      </c>
      <c r="G889" s="4" t="s">
        <v>18</v>
      </c>
      <c r="H889" s="4" t="s">
        <v>11</v>
      </c>
    </row>
    <row r="890" spans="1:8" x14ac:dyDescent="0.2">
      <c r="A890" s="4" t="str">
        <f>"09.110/004/2025"</f>
        <v>09.110/004/2025</v>
      </c>
      <c r="B890" s="4" t="str">
        <f t="shared" si="36"/>
        <v>Die Europäische Union - ihre Organe und Entscheidungsprozesse</v>
      </c>
      <c r="C890" s="5">
        <v>45757</v>
      </c>
      <c r="D890" s="5">
        <v>45758</v>
      </c>
      <c r="E890" s="4" t="str">
        <f t="shared" si="37"/>
        <v>2 Tage</v>
      </c>
      <c r="F890" s="17">
        <v>630</v>
      </c>
      <c r="G890" s="4" t="s">
        <v>18</v>
      </c>
      <c r="H890" s="4" t="s">
        <v>11</v>
      </c>
    </row>
    <row r="891" spans="1:8" x14ac:dyDescent="0.2">
      <c r="A891" s="4" t="str">
        <f>"09.110/005/2025"</f>
        <v>09.110/005/2025</v>
      </c>
      <c r="B891" s="4" t="str">
        <f t="shared" si="36"/>
        <v>Die Europäische Union - ihre Organe und Entscheidungsprozesse</v>
      </c>
      <c r="C891" s="5">
        <v>45813</v>
      </c>
      <c r="D891" s="5">
        <v>45814</v>
      </c>
      <c r="E891" s="4" t="str">
        <f t="shared" si="37"/>
        <v>2 Tage</v>
      </c>
      <c r="F891" s="17">
        <v>630</v>
      </c>
      <c r="G891" s="4" t="s">
        <v>18</v>
      </c>
      <c r="H891" s="4" t="s">
        <v>11</v>
      </c>
    </row>
    <row r="892" spans="1:8" x14ac:dyDescent="0.2">
      <c r="A892" s="4" t="str">
        <f>"09.110/006/2025"</f>
        <v>09.110/006/2025</v>
      </c>
      <c r="B892" s="4" t="str">
        <f t="shared" si="36"/>
        <v>Die Europäische Union - ihre Organe und Entscheidungsprozesse</v>
      </c>
      <c r="C892" s="5">
        <v>45918</v>
      </c>
      <c r="D892" s="5">
        <v>45919</v>
      </c>
      <c r="E892" s="4" t="str">
        <f t="shared" si="37"/>
        <v>2 Tage</v>
      </c>
      <c r="F892" s="17">
        <v>630</v>
      </c>
      <c r="G892" s="4" t="s">
        <v>18</v>
      </c>
      <c r="H892" s="4" t="s">
        <v>11</v>
      </c>
    </row>
    <row r="893" spans="1:8" x14ac:dyDescent="0.2">
      <c r="A893" s="4" t="str">
        <f>"09.110/007/2025"</f>
        <v>09.110/007/2025</v>
      </c>
      <c r="B893" s="4" t="str">
        <f t="shared" si="36"/>
        <v>Die Europäische Union - ihre Organe und Entscheidungsprozesse</v>
      </c>
      <c r="C893" s="5">
        <v>45939</v>
      </c>
      <c r="D893" s="5">
        <v>45940</v>
      </c>
      <c r="E893" s="4" t="str">
        <f t="shared" si="37"/>
        <v>2 Tage</v>
      </c>
      <c r="F893" s="17">
        <v>630</v>
      </c>
      <c r="G893" s="4" t="s">
        <v>18</v>
      </c>
      <c r="H893" s="4" t="s">
        <v>11</v>
      </c>
    </row>
    <row r="894" spans="1:8" x14ac:dyDescent="0.2">
      <c r="A894" s="4" t="str">
        <f>"09.110/008/2025"</f>
        <v>09.110/008/2025</v>
      </c>
      <c r="B894" s="4" t="str">
        <f t="shared" si="36"/>
        <v>Die Europäische Union - ihre Organe und Entscheidungsprozesse</v>
      </c>
      <c r="C894" s="5">
        <v>45960</v>
      </c>
      <c r="D894" s="5">
        <v>45961</v>
      </c>
      <c r="E894" s="4" t="str">
        <f t="shared" si="37"/>
        <v>2 Tage</v>
      </c>
      <c r="F894" s="17">
        <v>630</v>
      </c>
      <c r="G894" s="4" t="s">
        <v>18</v>
      </c>
      <c r="H894" s="4" t="s">
        <v>11</v>
      </c>
    </row>
    <row r="895" spans="1:8" x14ac:dyDescent="0.2">
      <c r="A895" s="4" t="str">
        <f>"09.110/009/2025"</f>
        <v>09.110/009/2025</v>
      </c>
      <c r="B895" s="4" t="str">
        <f t="shared" si="36"/>
        <v>Die Europäische Union - ihre Organe und Entscheidungsprozesse</v>
      </c>
      <c r="C895" s="5">
        <v>45978</v>
      </c>
      <c r="D895" s="5">
        <v>45979</v>
      </c>
      <c r="E895" s="4" t="str">
        <f t="shared" si="37"/>
        <v>2 Tage</v>
      </c>
      <c r="F895" s="17">
        <v>630</v>
      </c>
      <c r="G895" s="4" t="s">
        <v>18</v>
      </c>
      <c r="H895" s="4" t="s">
        <v>11</v>
      </c>
    </row>
    <row r="896" spans="1:8" x14ac:dyDescent="0.2">
      <c r="A896" s="4" t="str">
        <f>"09.110/010/2025"</f>
        <v>09.110/010/2025</v>
      </c>
      <c r="B896" s="4" t="str">
        <f t="shared" si="36"/>
        <v>Die Europäische Union - ihre Organe und Entscheidungsprozesse</v>
      </c>
      <c r="C896" s="5">
        <v>45995</v>
      </c>
      <c r="D896" s="5">
        <v>45996</v>
      </c>
      <c r="E896" s="4" t="str">
        <f t="shared" si="37"/>
        <v>2 Tage</v>
      </c>
      <c r="F896" s="17">
        <v>630</v>
      </c>
      <c r="G896" s="4" t="s">
        <v>18</v>
      </c>
      <c r="H896" s="4" t="s">
        <v>11</v>
      </c>
    </row>
    <row r="897" spans="1:8" x14ac:dyDescent="0.2">
      <c r="A897" s="4" t="str">
        <f>"09.112/001/2025"</f>
        <v>09.112/001/2025</v>
      </c>
      <c r="B897" s="4" t="str">
        <f>"(Ein-) Blick von innen: Akteure in EU-Institutionen, Gesetzgebung und Verhandlungen"</f>
        <v>(Ein-) Blick von innen: Akteure in EU-Institutionen, Gesetzgebung und Verhandlungen</v>
      </c>
      <c r="C897" s="5">
        <v>45803</v>
      </c>
      <c r="D897" s="5">
        <v>45803</v>
      </c>
      <c r="E897" s="4" t="str">
        <f>"1 Tag"</f>
        <v>1 Tag</v>
      </c>
      <c r="F897" s="17">
        <v>190</v>
      </c>
      <c r="G897" s="4" t="s">
        <v>14</v>
      </c>
      <c r="H897" s="4" t="s">
        <v>11</v>
      </c>
    </row>
    <row r="898" spans="1:8" x14ac:dyDescent="0.2">
      <c r="A898" s="4" t="str">
        <f>"09.120/001/2025"</f>
        <v>09.120/001/2025</v>
      </c>
      <c r="B898" s="4" t="str">
        <f>"Der Europäische Fonds für regionale Entwicklung"</f>
        <v>Der Europäische Fonds für regionale Entwicklung</v>
      </c>
      <c r="C898" s="5">
        <v>45664</v>
      </c>
      <c r="D898" s="5">
        <v>45665</v>
      </c>
      <c r="E898" s="4" t="str">
        <f>"2 Tage"</f>
        <v>2 Tage</v>
      </c>
      <c r="F898" s="17">
        <v>630</v>
      </c>
      <c r="G898" s="4" t="s">
        <v>14</v>
      </c>
      <c r="H898" s="4" t="s">
        <v>11</v>
      </c>
    </row>
    <row r="899" spans="1:8" x14ac:dyDescent="0.2">
      <c r="A899" s="4" t="str">
        <f>"09.120/002/2025"</f>
        <v>09.120/002/2025</v>
      </c>
      <c r="B899" s="4" t="str">
        <f>"Der Europäische Fonds für regionale Entwicklung"</f>
        <v>Der Europäische Fonds für regionale Entwicklung</v>
      </c>
      <c r="C899" s="5">
        <v>45915</v>
      </c>
      <c r="D899" s="5">
        <v>45916</v>
      </c>
      <c r="E899" s="4" t="str">
        <f>"2 Tage"</f>
        <v>2 Tage</v>
      </c>
      <c r="F899" s="17">
        <v>630</v>
      </c>
      <c r="G899" s="4" t="s">
        <v>14</v>
      </c>
      <c r="H899" s="4" t="s">
        <v>11</v>
      </c>
    </row>
    <row r="900" spans="1:8" x14ac:dyDescent="0.2">
      <c r="A900" s="4" t="str">
        <f>"09.126/001/2025"</f>
        <v>09.126/001/2025</v>
      </c>
      <c r="B900" s="4" t="str">
        <f>"EU-Förderung und Zuwendungsrecht - Grundlagen"</f>
        <v>EU-Förderung und Zuwendungsrecht - Grundlagen</v>
      </c>
      <c r="C900" s="5">
        <v>45747</v>
      </c>
      <c r="D900" s="5">
        <v>45747</v>
      </c>
      <c r="E900" s="4" t="str">
        <f>"1 Tag"</f>
        <v>1 Tag</v>
      </c>
      <c r="F900" s="17">
        <v>190</v>
      </c>
      <c r="G900" s="4" t="s">
        <v>14</v>
      </c>
      <c r="H900" s="4" t="s">
        <v>11</v>
      </c>
    </row>
    <row r="901" spans="1:8" x14ac:dyDescent="0.2">
      <c r="A901" s="4" t="str">
        <f>"09.130/001/2025"</f>
        <v>09.130/001/2025</v>
      </c>
      <c r="B901" s="4" t="str">
        <f>"Europäisches Beihilferecht"</f>
        <v>Europäisches Beihilferecht</v>
      </c>
      <c r="C901" s="5">
        <v>45728</v>
      </c>
      <c r="D901" s="5">
        <v>45730</v>
      </c>
      <c r="E901" s="4" t="str">
        <f>"3 Tage"</f>
        <v>3 Tage</v>
      </c>
      <c r="F901" s="17">
        <v>980</v>
      </c>
      <c r="G901" s="4" t="s">
        <v>14</v>
      </c>
      <c r="H901" s="4" t="s">
        <v>11</v>
      </c>
    </row>
    <row r="902" spans="1:8" x14ac:dyDescent="0.2">
      <c r="A902" s="4" t="str">
        <f>"09.130/002/2025"</f>
        <v>09.130/002/2025</v>
      </c>
      <c r="B902" s="4" t="str">
        <f>"Europäisches Beihilferecht"</f>
        <v>Europäisches Beihilferecht</v>
      </c>
      <c r="C902" s="5">
        <v>45999</v>
      </c>
      <c r="D902" s="5">
        <v>46001</v>
      </c>
      <c r="E902" s="4" t="str">
        <f>"3 Tage"</f>
        <v>3 Tage</v>
      </c>
      <c r="F902" s="17">
        <v>980</v>
      </c>
      <c r="G902" s="4" t="s">
        <v>14</v>
      </c>
      <c r="H902" s="4" t="s">
        <v>11</v>
      </c>
    </row>
    <row r="903" spans="1:8" x14ac:dyDescent="0.2">
      <c r="A903" s="4" t="str">
        <f>"09.140/001/2025"</f>
        <v>09.140/001/2025</v>
      </c>
      <c r="B903" s="4" t="str">
        <f>"NRW und die Benelux-Länder: Interkulturelle Kommunikation, Politik und Verwaltung, Kultur und Geschichte"</f>
        <v>NRW und die Benelux-Länder: Interkulturelle Kommunikation, Politik und Verwaltung, Kultur und Geschichte</v>
      </c>
      <c r="C903" s="5">
        <v>45980</v>
      </c>
      <c r="D903" s="5">
        <v>45981</v>
      </c>
      <c r="E903" s="4" t="str">
        <f>"2 Tage"</f>
        <v>2 Tage</v>
      </c>
      <c r="F903" s="17">
        <v>720</v>
      </c>
      <c r="G903" s="4" t="s">
        <v>14</v>
      </c>
      <c r="H903" s="4" t="s">
        <v>22</v>
      </c>
    </row>
    <row r="904" spans="1:8" x14ac:dyDescent="0.2">
      <c r="A904" s="4" t="str">
        <f>"09.210/001/2025"</f>
        <v>09.210/001/2025</v>
      </c>
      <c r="B904" s="4" t="str">
        <f t="shared" ref="B904:B909" si="38">"Englisch für EU-Kontakte und internationale Zusammenarbeit"</f>
        <v>Englisch für EU-Kontakte und internationale Zusammenarbeit</v>
      </c>
      <c r="C904" s="5">
        <v>45733</v>
      </c>
      <c r="D904" s="5">
        <v>45791</v>
      </c>
      <c r="E904" s="4" t="str">
        <f>"1x5 Tage, 1x3 Tage"</f>
        <v>1x5 Tage, 1x3 Tage</v>
      </c>
      <c r="F904" s="17">
        <v>1030</v>
      </c>
      <c r="G904" s="4"/>
      <c r="H904" s="4" t="s">
        <v>11</v>
      </c>
    </row>
    <row r="905" spans="1:8" x14ac:dyDescent="0.2">
      <c r="A905" s="4" t="str">
        <f>"09.210/001 b/2025"</f>
        <v>09.210/001 b/2025</v>
      </c>
      <c r="B905" s="4" t="str">
        <f t="shared" si="38"/>
        <v>Englisch für EU-Kontakte und internationale Zusammenarbeit</v>
      </c>
      <c r="C905" s="5">
        <v>45789</v>
      </c>
      <c r="D905" s="5">
        <v>45791</v>
      </c>
      <c r="E905" s="4"/>
      <c r="F905" s="17"/>
      <c r="G905" s="4" t="s">
        <v>14</v>
      </c>
      <c r="H905" s="4" t="s">
        <v>11</v>
      </c>
    </row>
    <row r="906" spans="1:8" x14ac:dyDescent="0.2">
      <c r="A906" s="4" t="str">
        <f>"09.210/001 a/2025"</f>
        <v>09.210/001 a/2025</v>
      </c>
      <c r="B906" s="4" t="str">
        <f t="shared" si="38"/>
        <v>Englisch für EU-Kontakte und internationale Zusammenarbeit</v>
      </c>
      <c r="C906" s="5">
        <v>45733</v>
      </c>
      <c r="D906" s="5">
        <v>45737</v>
      </c>
      <c r="E906" s="4"/>
      <c r="F906" s="17"/>
      <c r="G906" s="4" t="s">
        <v>14</v>
      </c>
      <c r="H906" s="4" t="s">
        <v>11</v>
      </c>
    </row>
    <row r="907" spans="1:8" x14ac:dyDescent="0.2">
      <c r="A907" s="4" t="str">
        <f>"09.210/002/2025"</f>
        <v>09.210/002/2025</v>
      </c>
      <c r="B907" s="4" t="str">
        <f t="shared" si="38"/>
        <v>Englisch für EU-Kontakte und internationale Zusammenarbeit</v>
      </c>
      <c r="C907" s="5">
        <v>45894</v>
      </c>
      <c r="D907" s="5">
        <v>45954</v>
      </c>
      <c r="E907" s="4" t="str">
        <f>"1x5 Tage, 1x3 Tage"</f>
        <v>1x5 Tage, 1x3 Tage</v>
      </c>
      <c r="F907" s="17">
        <v>1030</v>
      </c>
      <c r="G907" s="4"/>
      <c r="H907" s="4" t="s">
        <v>11</v>
      </c>
    </row>
    <row r="908" spans="1:8" x14ac:dyDescent="0.2">
      <c r="A908" s="4" t="str">
        <f>"09.210/002 b/2025"</f>
        <v>09.210/002 b/2025</v>
      </c>
      <c r="B908" s="4" t="str">
        <f t="shared" si="38"/>
        <v>Englisch für EU-Kontakte und internationale Zusammenarbeit</v>
      </c>
      <c r="C908" s="5">
        <v>45952</v>
      </c>
      <c r="D908" s="5">
        <v>45954</v>
      </c>
      <c r="E908" s="4"/>
      <c r="F908" s="17"/>
      <c r="G908" s="4" t="s">
        <v>14</v>
      </c>
      <c r="H908" s="4" t="s">
        <v>11</v>
      </c>
    </row>
    <row r="909" spans="1:8" x14ac:dyDescent="0.2">
      <c r="A909" s="4" t="str">
        <f>"09.210/002 a/2025"</f>
        <v>09.210/002 a/2025</v>
      </c>
      <c r="B909" s="4" t="str">
        <f t="shared" si="38"/>
        <v>Englisch für EU-Kontakte und internationale Zusammenarbeit</v>
      </c>
      <c r="C909" s="5">
        <v>45894</v>
      </c>
      <c r="D909" s="5">
        <v>45898</v>
      </c>
      <c r="E909" s="4"/>
      <c r="F909" s="17"/>
      <c r="G909" s="4" t="s">
        <v>14</v>
      </c>
      <c r="H909" s="4" t="s">
        <v>11</v>
      </c>
    </row>
    <row r="910" spans="1:8" x14ac:dyDescent="0.2">
      <c r="A910" s="4" t="str">
        <f>"09.212/001/2025"</f>
        <v>09.212/001/2025</v>
      </c>
      <c r="B910" s="4" t="str">
        <f>"Englisch - Einstufungstest Bezirksregierung Köln"</f>
        <v>Englisch - Einstufungstest Bezirksregierung Köln</v>
      </c>
      <c r="C910" s="5">
        <v>45664</v>
      </c>
      <c r="D910" s="5">
        <v>45664</v>
      </c>
      <c r="E910" s="4" t="str">
        <f>"2,5 Stunden"</f>
        <v>2,5 Stunden</v>
      </c>
      <c r="F910" s="17">
        <v>0</v>
      </c>
      <c r="G910" s="4" t="s">
        <v>14</v>
      </c>
      <c r="H910" s="4" t="s">
        <v>11</v>
      </c>
    </row>
    <row r="911" spans="1:8" x14ac:dyDescent="0.2">
      <c r="A911" s="4" t="str">
        <f>"09.212/002/2025"</f>
        <v>09.212/002/2025</v>
      </c>
      <c r="B911" s="4" t="str">
        <f>"Englisch - Einstufungstest Bezirksregierung Münster"</f>
        <v>Englisch - Einstufungstest Bezirksregierung Münster</v>
      </c>
      <c r="C911" s="5">
        <v>45672</v>
      </c>
      <c r="D911" s="5">
        <v>45672</v>
      </c>
      <c r="E911" s="4" t="str">
        <f>"2,5 Stunden"</f>
        <v>2,5 Stunden</v>
      </c>
      <c r="F911" s="17">
        <v>0</v>
      </c>
      <c r="G911" s="4" t="s">
        <v>14</v>
      </c>
      <c r="H911" s="4" t="s">
        <v>11</v>
      </c>
    </row>
    <row r="912" spans="1:8" x14ac:dyDescent="0.2">
      <c r="A912" s="4" t="str">
        <f>"09.212/003/2025"</f>
        <v>09.212/003/2025</v>
      </c>
      <c r="B912" s="4" t="str">
        <f>"Englisch - Einstufungstest Bezirksregierung Detmold"</f>
        <v>Englisch - Einstufungstest Bezirksregierung Detmold</v>
      </c>
      <c r="C912" s="5">
        <v>45782</v>
      </c>
      <c r="D912" s="5">
        <v>45782</v>
      </c>
      <c r="E912" s="4" t="str">
        <f>"2,5 Stunden"</f>
        <v>2,5 Stunden</v>
      </c>
      <c r="F912" s="17">
        <v>0</v>
      </c>
      <c r="G912" s="4" t="s">
        <v>14</v>
      </c>
      <c r="H912" s="4" t="s">
        <v>11</v>
      </c>
    </row>
    <row r="913" spans="1:8" x14ac:dyDescent="0.2">
      <c r="A913" s="4" t="str">
        <f>"09.212/004/2025"</f>
        <v>09.212/004/2025</v>
      </c>
      <c r="B913" s="4" t="str">
        <f>"Englisch - Einstufungstest Bezirksregierung Arnsberg"</f>
        <v>Englisch - Einstufungstest Bezirksregierung Arnsberg</v>
      </c>
      <c r="C913" s="5">
        <v>45803</v>
      </c>
      <c r="D913" s="5">
        <v>45803</v>
      </c>
      <c r="E913" s="4" t="str">
        <f>"2,5 Stunden"</f>
        <v>2,5 Stunden</v>
      </c>
      <c r="F913" s="17">
        <v>0</v>
      </c>
      <c r="G913" s="4" t="s">
        <v>14</v>
      </c>
      <c r="H913" s="4" t="s">
        <v>11</v>
      </c>
    </row>
    <row r="914" spans="1:8" x14ac:dyDescent="0.2">
      <c r="A914" s="4" t="str">
        <f>"09.212/005/2025"</f>
        <v>09.212/005/2025</v>
      </c>
      <c r="B914" s="4" t="str">
        <f>"Englisch - Einstufungstest Bezirksregierung Düsseldorf"</f>
        <v>Englisch - Einstufungstest Bezirksregierung Düsseldorf</v>
      </c>
      <c r="C914" s="5">
        <v>45810</v>
      </c>
      <c r="D914" s="5">
        <v>45810</v>
      </c>
      <c r="E914" s="4" t="str">
        <f>"2,5 Stunden"</f>
        <v>2,5 Stunden</v>
      </c>
      <c r="F914" s="17">
        <v>0</v>
      </c>
      <c r="G914" s="4" t="s">
        <v>14</v>
      </c>
      <c r="H914" s="4" t="s">
        <v>11</v>
      </c>
    </row>
    <row r="915" spans="1:8" x14ac:dyDescent="0.2">
      <c r="A915" s="4" t="str">
        <f>"09.330/001/2025"</f>
        <v>09.330/001/2025</v>
      </c>
      <c r="B915" s="4" t="str">
        <f>"Finanzkontrolle Strukturfondsförderung - Grundlagen des Zuwendungsrechts im Kontext der Europäischen Strukturfonds"</f>
        <v>Finanzkontrolle Strukturfondsförderung - Grundlagen des Zuwendungsrechts im Kontext der Europäischen Strukturfonds</v>
      </c>
      <c r="C915" s="5">
        <v>45726</v>
      </c>
      <c r="D915" s="5">
        <v>45727</v>
      </c>
      <c r="E915" s="4" t="str">
        <f>"2 Tage"</f>
        <v>2 Tage</v>
      </c>
      <c r="F915" s="17">
        <v>770</v>
      </c>
      <c r="G915" s="4" t="s">
        <v>14</v>
      </c>
      <c r="H915" s="4" t="s">
        <v>22</v>
      </c>
    </row>
    <row r="916" spans="1:8" x14ac:dyDescent="0.2">
      <c r="A916" s="4" t="str">
        <f>"09.332/001/2025"</f>
        <v>09.332/001/2025</v>
      </c>
      <c r="B916" s="4" t="str">
        <f>"Finanzkontrolle Strukturfondsförderung - Systemprüfungen"</f>
        <v>Finanzkontrolle Strukturfondsförderung - Systemprüfungen</v>
      </c>
      <c r="C916" s="5">
        <v>45677</v>
      </c>
      <c r="D916" s="5">
        <v>45679</v>
      </c>
      <c r="E916" s="4" t="str">
        <f>"3 Tage"</f>
        <v>3 Tage</v>
      </c>
      <c r="F916" s="17">
        <v>810</v>
      </c>
      <c r="G916" s="4" t="s">
        <v>14</v>
      </c>
      <c r="H916" s="4" t="s">
        <v>22</v>
      </c>
    </row>
    <row r="917" spans="1:8" x14ac:dyDescent="0.2">
      <c r="A917" s="4" t="str">
        <f>"09.334/001/2025"</f>
        <v>09.334/001/2025</v>
      </c>
      <c r="B917" s="4" t="str">
        <f>"Finanzkontrolle Strukturfondsförderung - Vorhabenprüfungen durch die Prüfbehörde"</f>
        <v>Finanzkontrolle Strukturfondsförderung - Vorhabenprüfungen durch die Prüfbehörde</v>
      </c>
      <c r="C917" s="5">
        <v>45763</v>
      </c>
      <c r="D917" s="5">
        <v>45764</v>
      </c>
      <c r="E917" s="4" t="str">
        <f>"2 Tage"</f>
        <v>2 Tage</v>
      </c>
      <c r="F917" s="17">
        <v>570</v>
      </c>
      <c r="G917" s="4" t="s">
        <v>14</v>
      </c>
      <c r="H917" s="4" t="s">
        <v>22</v>
      </c>
    </row>
    <row r="918" spans="1:8" x14ac:dyDescent="0.2">
      <c r="A918" s="4" t="str">
        <f>"09.334/002/2025"</f>
        <v>09.334/002/2025</v>
      </c>
      <c r="B918" s="4" t="str">
        <f>"Finanzkontrolle Strukturfondsförderung - Vorhabenprüfungen durch die Prüfbehörde"</f>
        <v>Finanzkontrolle Strukturfondsförderung - Vorhabenprüfungen durch die Prüfbehörde</v>
      </c>
      <c r="C918" s="5">
        <v>45967</v>
      </c>
      <c r="D918" s="5">
        <v>45968</v>
      </c>
      <c r="E918" s="4" t="str">
        <f>"2 Tage"</f>
        <v>2 Tage</v>
      </c>
      <c r="F918" s="17">
        <v>570</v>
      </c>
      <c r="G918" s="4" t="s">
        <v>14</v>
      </c>
      <c r="H918" s="4" t="s">
        <v>22</v>
      </c>
    </row>
    <row r="919" spans="1:8" x14ac:dyDescent="0.2">
      <c r="A919" s="4" t="str">
        <f>"09.335/001/2025"</f>
        <v>09.335/001/2025</v>
      </c>
      <c r="B919" s="4" t="str">
        <f>"Finanzkontrolle Strukturfondsförderung - Workshop vertiefende Fragen der Prüfbehörden insbesondere zu Vorhabenprüfungen"</f>
        <v>Finanzkontrolle Strukturfondsförderung - Workshop vertiefende Fragen der Prüfbehörden insbesondere zu Vorhabenprüfungen</v>
      </c>
      <c r="C919" s="5">
        <v>45910</v>
      </c>
      <c r="D919" s="5">
        <v>45911</v>
      </c>
      <c r="E919" s="4" t="str">
        <f>"1,5 Tage"</f>
        <v>1,5 Tage</v>
      </c>
      <c r="F919" s="17">
        <v>770</v>
      </c>
      <c r="G919" s="4" t="s">
        <v>14</v>
      </c>
      <c r="H919" s="4" t="s">
        <v>22</v>
      </c>
    </row>
    <row r="920" spans="1:8" x14ac:dyDescent="0.2">
      <c r="A920" s="4" t="str">
        <f>"09.337/001/2025"</f>
        <v>09.337/001/2025</v>
      </c>
      <c r="B920" s="4" t="str">
        <f>"Finanzkontrolle Strukturfondsförderung - Prüfung öffentlicher Auftragsvergaben für Einsteigerinnen und Einsteiger"</f>
        <v>Finanzkontrolle Strukturfondsförderung - Prüfung öffentlicher Auftragsvergaben für Einsteigerinnen und Einsteiger</v>
      </c>
      <c r="C920" s="5">
        <v>45866</v>
      </c>
      <c r="D920" s="5">
        <v>45867</v>
      </c>
      <c r="E920" s="4" t="str">
        <f>"1,5 Tage"</f>
        <v>1,5 Tage</v>
      </c>
      <c r="F920" s="17">
        <v>670</v>
      </c>
      <c r="G920" s="4" t="s">
        <v>14</v>
      </c>
      <c r="H920" s="4" t="s">
        <v>22</v>
      </c>
    </row>
    <row r="921" spans="1:8" x14ac:dyDescent="0.2">
      <c r="A921" s="4" t="str">
        <f>"09.339/001/2025"</f>
        <v>09.339/001/2025</v>
      </c>
      <c r="B921" s="4" t="str">
        <f>"Finanzkontrolle Strukturfondsförderung - internationale Prüfungsstandards"</f>
        <v>Finanzkontrolle Strukturfondsförderung - internationale Prüfungsstandards</v>
      </c>
      <c r="C921" s="5">
        <v>45936</v>
      </c>
      <c r="D921" s="5">
        <v>45938</v>
      </c>
      <c r="E921" s="4" t="str">
        <f>"3 Tage"</f>
        <v>3 Tage</v>
      </c>
      <c r="F921" s="17">
        <v>810</v>
      </c>
      <c r="G921" s="4" t="s">
        <v>14</v>
      </c>
      <c r="H921" s="4" t="s">
        <v>22</v>
      </c>
    </row>
    <row r="922" spans="1:8" x14ac:dyDescent="0.2">
      <c r="A922" s="4" t="str">
        <f>"09.340/001/2025"</f>
        <v>09.340/001/2025</v>
      </c>
      <c r="B922" s="4" t="str">
        <f>"Finanzkontrolle Strukturfondsförderung - staatliche Beihilfen"</f>
        <v>Finanzkontrolle Strukturfondsförderung - staatliche Beihilfen</v>
      </c>
      <c r="C922" s="5">
        <v>45726</v>
      </c>
      <c r="D922" s="5">
        <v>45728</v>
      </c>
      <c r="E922" s="4" t="str">
        <f>"3 Tage"</f>
        <v>3 Tage</v>
      </c>
      <c r="F922" s="17">
        <v>810</v>
      </c>
      <c r="G922" s="4" t="s">
        <v>14</v>
      </c>
      <c r="H922" s="4" t="s">
        <v>22</v>
      </c>
    </row>
    <row r="923" spans="1:8" x14ac:dyDescent="0.2">
      <c r="A923" s="4" t="str">
        <f>"09.340/002/2025"</f>
        <v>09.340/002/2025</v>
      </c>
      <c r="B923" s="4" t="str">
        <f>"Finanzkontrolle Strukturfondsförderung - staatliche Beihilfen"</f>
        <v>Finanzkontrolle Strukturfondsförderung - staatliche Beihilfen</v>
      </c>
      <c r="C923" s="5">
        <v>45985</v>
      </c>
      <c r="D923" s="5">
        <v>45987</v>
      </c>
      <c r="E923" s="4" t="str">
        <f>"3 Tage"</f>
        <v>3 Tage</v>
      </c>
      <c r="F923" s="17">
        <v>810</v>
      </c>
      <c r="G923" s="4" t="s">
        <v>14</v>
      </c>
      <c r="H923" s="4" t="s">
        <v>22</v>
      </c>
    </row>
    <row r="924" spans="1:8" x14ac:dyDescent="0.2">
      <c r="A924" s="4" t="str">
        <f>"09.341/001/2025"</f>
        <v>09.341/001/2025</v>
      </c>
      <c r="B924" s="4" t="str">
        <f>"Finanzkontrolle Strukturfondsförderung - Prüfung öffentlicher Auftragsvergaben Vertiefung"</f>
        <v>Finanzkontrolle Strukturfondsförderung - Prüfung öffentlicher Auftragsvergaben Vertiefung</v>
      </c>
      <c r="C924" s="5">
        <v>45978</v>
      </c>
      <c r="D924" s="5">
        <v>45979</v>
      </c>
      <c r="E924" s="4" t="str">
        <f>"1,5 Tage"</f>
        <v>1,5 Tage</v>
      </c>
      <c r="F924" s="17">
        <v>770</v>
      </c>
      <c r="G924" s="4" t="s">
        <v>14</v>
      </c>
      <c r="H924" s="4" t="s">
        <v>22</v>
      </c>
    </row>
    <row r="925" spans="1:8" x14ac:dyDescent="0.2">
      <c r="A925" s="4" t="str">
        <f>"09.343/001/2025"</f>
        <v>09.343/001/2025</v>
      </c>
      <c r="B925" s="4" t="str">
        <f>"Finanzkontrolle Strukturfondsförderung - Prüfung der Rechnungslegung und Wiedereinziehungen"</f>
        <v>Finanzkontrolle Strukturfondsförderung - Prüfung der Rechnungslegung und Wiedereinziehungen</v>
      </c>
      <c r="C925" s="5">
        <v>45818</v>
      </c>
      <c r="D925" s="5">
        <v>45819</v>
      </c>
      <c r="E925" s="4" t="str">
        <f>"2 Tage"</f>
        <v>2 Tage</v>
      </c>
      <c r="F925" s="17">
        <v>770</v>
      </c>
      <c r="G925" s="4" t="s">
        <v>14</v>
      </c>
      <c r="H925" s="4" t="s">
        <v>22</v>
      </c>
    </row>
    <row r="926" spans="1:8" x14ac:dyDescent="0.2">
      <c r="A926" s="4" t="str">
        <f>"09.345/001/2025"</f>
        <v>09.345/001/2025</v>
      </c>
      <c r="B926" s="4" t="str">
        <f>"Finanzkontrolle Strukturförderung - vereinfachte Kostenoptionen (VKO)"</f>
        <v>Finanzkontrolle Strukturförderung - vereinfachte Kostenoptionen (VKO)</v>
      </c>
      <c r="C926" s="5">
        <v>45908</v>
      </c>
      <c r="D926" s="5">
        <v>45909</v>
      </c>
      <c r="E926" s="4" t="str">
        <f>"2 Tage"</f>
        <v>2 Tage</v>
      </c>
      <c r="F926" s="17">
        <v>770</v>
      </c>
      <c r="G926" s="4" t="s">
        <v>14</v>
      </c>
      <c r="H926" s="4" t="s">
        <v>22</v>
      </c>
    </row>
    <row r="927" spans="1:8" x14ac:dyDescent="0.2">
      <c r="A927" s="4" t="str">
        <f>"10.340/001/2025"</f>
        <v>10.340/001/2025</v>
      </c>
      <c r="B927" s="4" t="str">
        <f>"Als SAP souverän unterwegs im internen Netzwerk"</f>
        <v>Als SAP souverän unterwegs im internen Netzwerk</v>
      </c>
      <c r="C927" s="5">
        <v>45741</v>
      </c>
      <c r="D927" s="5">
        <v>45742</v>
      </c>
      <c r="E927" s="4" t="str">
        <f>"2 Tage"</f>
        <v>2 Tage</v>
      </c>
      <c r="F927" s="17">
        <v>430</v>
      </c>
      <c r="G927" s="4" t="s">
        <v>23</v>
      </c>
      <c r="H927" s="4" t="s">
        <v>22</v>
      </c>
    </row>
    <row r="928" spans="1:8" x14ac:dyDescent="0.2">
      <c r="A928" s="4" t="str">
        <f>"10.342/001/2025"</f>
        <v>10.342/001/2025</v>
      </c>
      <c r="B928" s="4" t="str">
        <f>"SAP - Beratung im Konfliktfall"</f>
        <v>SAP - Beratung im Konfliktfall</v>
      </c>
      <c r="C928" s="5">
        <v>45715</v>
      </c>
      <c r="D928" s="5">
        <v>45716</v>
      </c>
      <c r="E928" s="4" t="str">
        <f>"2 Tage"</f>
        <v>2 Tage</v>
      </c>
      <c r="F928" s="17">
        <v>430</v>
      </c>
      <c r="G928" s="4" t="s">
        <v>23</v>
      </c>
      <c r="H928" s="4" t="s">
        <v>22</v>
      </c>
    </row>
    <row r="929" spans="1:8" x14ac:dyDescent="0.2">
      <c r="A929" s="4" t="str">
        <f>"10.342/002/2025"</f>
        <v>10.342/002/2025</v>
      </c>
      <c r="B929" s="4" t="str">
        <f>"SAP - Beratung im Konfliktfall"</f>
        <v>SAP - Beratung im Konfliktfall</v>
      </c>
      <c r="C929" s="5">
        <v>45859</v>
      </c>
      <c r="D929" s="5">
        <v>45860</v>
      </c>
      <c r="E929" s="4" t="str">
        <f>"2 Tage"</f>
        <v>2 Tage</v>
      </c>
      <c r="F929" s="17">
        <v>430</v>
      </c>
      <c r="G929" s="4" t="s">
        <v>23</v>
      </c>
      <c r="H929" s="4" t="s">
        <v>22</v>
      </c>
    </row>
    <row r="930" spans="1:8" x14ac:dyDescent="0.2">
      <c r="A930" s="4" t="str">
        <f>"10.343/001/2025"</f>
        <v>10.343/001/2025</v>
      </c>
      <c r="B930" s="4" t="str">
        <f>"SAP- Einführung in die telefonische und videogestützte Beratung "</f>
        <v xml:space="preserve">SAP- Einführung in die telefonische und videogestützte Beratung </v>
      </c>
      <c r="C930" s="5">
        <v>45742</v>
      </c>
      <c r="D930" s="5">
        <v>45742</v>
      </c>
      <c r="E930" s="4" t="str">
        <f>"1 Tag"</f>
        <v>1 Tag</v>
      </c>
      <c r="F930" s="17">
        <v>430</v>
      </c>
      <c r="G930" s="4" t="s">
        <v>23</v>
      </c>
      <c r="H930" s="4" t="s">
        <v>22</v>
      </c>
    </row>
    <row r="931" spans="1:8" x14ac:dyDescent="0.2">
      <c r="A931" s="4" t="str">
        <f>"10.344/001/2025"</f>
        <v>10.344/001/2025</v>
      </c>
      <c r="B931" s="4" t="str">
        <f>"SAP - Begegnung mit Komplexität in der Beratung"</f>
        <v>SAP - Begegnung mit Komplexität in der Beratung</v>
      </c>
      <c r="C931" s="5">
        <v>45855</v>
      </c>
      <c r="D931" s="5">
        <v>45855</v>
      </c>
      <c r="E931" s="4" t="str">
        <f>"1 Tag"</f>
        <v>1 Tag</v>
      </c>
      <c r="F931" s="17">
        <v>490</v>
      </c>
      <c r="G931" s="4" t="s">
        <v>23</v>
      </c>
      <c r="H931" s="4" t="s">
        <v>22</v>
      </c>
    </row>
    <row r="932" spans="1:8" x14ac:dyDescent="0.2">
      <c r="A932" s="4" t="str">
        <f>"10.346/001/2025"</f>
        <v>10.346/001/2025</v>
      </c>
      <c r="B932" s="4" t="str">
        <f>"Methoden der SAP-Beratung: Auffrischung und Erweiterung"</f>
        <v>Methoden der SAP-Beratung: Auffrischung und Erweiterung</v>
      </c>
      <c r="C932" s="5">
        <v>45803</v>
      </c>
      <c r="D932" s="5">
        <v>45804</v>
      </c>
      <c r="E932" s="4" t="str">
        <f>"2 Tage"</f>
        <v>2 Tage</v>
      </c>
      <c r="F932" s="17">
        <v>490</v>
      </c>
      <c r="G932" s="4" t="s">
        <v>23</v>
      </c>
      <c r="H932" s="4" t="s">
        <v>22</v>
      </c>
    </row>
    <row r="933" spans="1:8" x14ac:dyDescent="0.2">
      <c r="A933" s="4" t="str">
        <f>"10.348/001/2025"</f>
        <v>10.348/001/2025</v>
      </c>
      <c r="B933" s="4" t="str">
        <f>"SAP - Grundhaltung in der Beratung: Spannungsfeld von Nähe und Distanz"</f>
        <v>SAP - Grundhaltung in der Beratung: Spannungsfeld von Nähe und Distanz</v>
      </c>
      <c r="C933" s="5">
        <v>45988</v>
      </c>
      <c r="D933" s="5">
        <v>45989</v>
      </c>
      <c r="E933" s="4" t="str">
        <f>"2 Tage"</f>
        <v>2 Tage</v>
      </c>
      <c r="F933" s="17">
        <v>630</v>
      </c>
      <c r="G933" s="4" t="s">
        <v>23</v>
      </c>
      <c r="H933" s="4" t="s">
        <v>22</v>
      </c>
    </row>
    <row r="934" spans="1:8" x14ac:dyDescent="0.2">
      <c r="A934" s="4" t="str">
        <f>"10.370/001/2025"</f>
        <v>10.370/001/2025</v>
      </c>
      <c r="B934" s="4" t="str">
        <f>"SAP - Beratung und Weitervermittlung bei Überschuldung"</f>
        <v>SAP - Beratung und Weitervermittlung bei Überschuldung</v>
      </c>
      <c r="C934" s="5">
        <v>45723</v>
      </c>
      <c r="D934" s="5">
        <v>45723</v>
      </c>
      <c r="E934" s="4" t="str">
        <f>"1 Tag"</f>
        <v>1 Tag</v>
      </c>
      <c r="F934" s="17">
        <v>200</v>
      </c>
      <c r="G934" s="4" t="s">
        <v>23</v>
      </c>
      <c r="H934" s="4" t="s">
        <v>22</v>
      </c>
    </row>
    <row r="935" spans="1:8" x14ac:dyDescent="0.2">
      <c r="A935" s="4" t="str">
        <f>"10.380/001/2025"</f>
        <v>10.380/001/2025</v>
      </c>
      <c r="B935" s="4" t="str">
        <f>"SAP - Beratung und Vermittlung bei Sucht und Abhängigkeitserkrankungen"</f>
        <v>SAP - Beratung und Vermittlung bei Sucht und Abhängigkeitserkrankungen</v>
      </c>
      <c r="C935" s="5">
        <v>45701</v>
      </c>
      <c r="D935" s="5">
        <v>45702</v>
      </c>
      <c r="E935" s="4" t="str">
        <f>"2 Tage"</f>
        <v>2 Tage</v>
      </c>
      <c r="F935" s="17">
        <v>490</v>
      </c>
      <c r="G935" s="4" t="s">
        <v>23</v>
      </c>
      <c r="H935" s="4" t="s">
        <v>22</v>
      </c>
    </row>
    <row r="936" spans="1:8" x14ac:dyDescent="0.2">
      <c r="A936" s="4" t="str">
        <f>"10.382/001/2025"</f>
        <v>10.382/001/2025</v>
      </c>
      <c r="B936" s="4" t="str">
        <f>"SAP- Beratung bei  Depression"</f>
        <v>SAP- Beratung bei  Depression</v>
      </c>
      <c r="C936" s="5">
        <v>45862</v>
      </c>
      <c r="D936" s="5">
        <v>45863</v>
      </c>
      <c r="E936" s="4" t="str">
        <f>"2 Tage "</f>
        <v xml:space="preserve">2 Tage </v>
      </c>
      <c r="F936" s="17">
        <v>430</v>
      </c>
      <c r="G936" s="4" t="s">
        <v>23</v>
      </c>
      <c r="H936" s="4" t="s">
        <v>22</v>
      </c>
    </row>
    <row r="937" spans="1:8" x14ac:dyDescent="0.2">
      <c r="A937" s="4" t="str">
        <f>"10.384/001/2025"</f>
        <v>10.384/001/2025</v>
      </c>
      <c r="B937" s="4" t="str">
        <f>"SAP - Beratung bei Burnout-Syndrom"</f>
        <v>SAP - Beratung bei Burnout-Syndrom</v>
      </c>
      <c r="C937" s="5">
        <v>45715</v>
      </c>
      <c r="D937" s="5">
        <v>45716</v>
      </c>
      <c r="E937" s="4" t="str">
        <f>"2 Tage "</f>
        <v xml:space="preserve">2 Tage </v>
      </c>
      <c r="F937" s="17">
        <v>430</v>
      </c>
      <c r="G937" s="4" t="s">
        <v>23</v>
      </c>
      <c r="H937" s="4" t="s">
        <v>22</v>
      </c>
    </row>
    <row r="938" spans="1:8" x14ac:dyDescent="0.2">
      <c r="A938" s="4" t="str">
        <f>"10.384/002/2025"</f>
        <v>10.384/002/2025</v>
      </c>
      <c r="B938" s="4" t="str">
        <f>"SAP - Beratung bei Burnout-Syndrom"</f>
        <v>SAP - Beratung bei Burnout-Syndrom</v>
      </c>
      <c r="C938" s="5">
        <v>45834</v>
      </c>
      <c r="D938" s="5">
        <v>45835</v>
      </c>
      <c r="E938" s="4" t="str">
        <f>"2 Tage "</f>
        <v xml:space="preserve">2 Tage </v>
      </c>
      <c r="F938" s="17">
        <v>430</v>
      </c>
      <c r="G938" s="4" t="s">
        <v>23</v>
      </c>
      <c r="H938" s="4" t="s">
        <v>22</v>
      </c>
    </row>
    <row r="939" spans="1:8" x14ac:dyDescent="0.2">
      <c r="A939" s="4" t="str">
        <f>"10.388/001/2025"</f>
        <v>10.388/001/2025</v>
      </c>
      <c r="B939" s="4" t="str">
        <f>"SAP - Beratung bei  Angststörungen"</f>
        <v>SAP - Beratung bei  Angststörungen</v>
      </c>
      <c r="C939" s="5">
        <v>45967</v>
      </c>
      <c r="D939" s="5">
        <v>45968</v>
      </c>
      <c r="E939" s="4" t="str">
        <f t="shared" ref="E939:E946" si="39">"2 Tage"</f>
        <v>2 Tage</v>
      </c>
      <c r="F939" s="17">
        <v>430</v>
      </c>
      <c r="G939" s="4" t="s">
        <v>23</v>
      </c>
      <c r="H939" s="4" t="s">
        <v>22</v>
      </c>
    </row>
    <row r="940" spans="1:8" x14ac:dyDescent="0.2">
      <c r="A940" s="4" t="str">
        <f>"10.389/001/2025"</f>
        <v>10.389/001/2025</v>
      </c>
      <c r="B940" s="4" t="str">
        <f>"SAP - Beratung psychisch belasteter Menschen - Resilienter werden und Krisen meistern"</f>
        <v>SAP - Beratung psychisch belasteter Menschen - Resilienter werden und Krisen meistern</v>
      </c>
      <c r="C940" s="5">
        <v>45761</v>
      </c>
      <c r="D940" s="5">
        <v>45762</v>
      </c>
      <c r="E940" s="4" t="str">
        <f t="shared" si="39"/>
        <v>2 Tage</v>
      </c>
      <c r="F940" s="17">
        <v>490</v>
      </c>
      <c r="G940" s="4" t="s">
        <v>23</v>
      </c>
      <c r="H940" s="4" t="s">
        <v>22</v>
      </c>
    </row>
    <row r="941" spans="1:8" x14ac:dyDescent="0.2">
      <c r="A941" s="4" t="str">
        <f>"10.389/002/2025"</f>
        <v>10.389/002/2025</v>
      </c>
      <c r="B941" s="4" t="str">
        <f>"SAP - Beratung psychisch belasteter Menschen - Resilienter werden und Krisen meistern"</f>
        <v>SAP - Beratung psychisch belasteter Menschen - Resilienter werden und Krisen meistern</v>
      </c>
      <c r="C941" s="5">
        <v>45931</v>
      </c>
      <c r="D941" s="5">
        <v>45932</v>
      </c>
      <c r="E941" s="4" t="str">
        <f t="shared" si="39"/>
        <v>2 Tage</v>
      </c>
      <c r="F941" s="17">
        <v>490</v>
      </c>
      <c r="G941" s="4" t="s">
        <v>23</v>
      </c>
      <c r="H941" s="4" t="s">
        <v>22</v>
      </c>
    </row>
    <row r="942" spans="1:8" x14ac:dyDescent="0.2">
      <c r="A942" s="4" t="str">
        <f>"10.390/001/2025"</f>
        <v>10.390/001/2025</v>
      </c>
      <c r="B942" s="4" t="str">
        <f>"SAP - Beratung bei suizidalen Krisen"</f>
        <v>SAP - Beratung bei suizidalen Krisen</v>
      </c>
      <c r="C942" s="5">
        <v>45901</v>
      </c>
      <c r="D942" s="5">
        <v>45902</v>
      </c>
      <c r="E942" s="4" t="str">
        <f t="shared" si="39"/>
        <v>2 Tage</v>
      </c>
      <c r="F942" s="17">
        <v>430</v>
      </c>
      <c r="G942" s="4" t="s">
        <v>23</v>
      </c>
      <c r="H942" s="4" t="s">
        <v>22</v>
      </c>
    </row>
    <row r="943" spans="1:8" x14ac:dyDescent="0.2">
      <c r="A943" s="4" t="str">
        <f>"10.392/001/2025"</f>
        <v>10.392/001/2025</v>
      </c>
      <c r="B943" s="4" t="str">
        <f>"SAP - Beratung bei traumatischen Erfahrungen"</f>
        <v>SAP - Beratung bei traumatischen Erfahrungen</v>
      </c>
      <c r="C943" s="5">
        <v>45763</v>
      </c>
      <c r="D943" s="5">
        <v>45764</v>
      </c>
      <c r="E943" s="4" t="str">
        <f t="shared" si="39"/>
        <v>2 Tage</v>
      </c>
      <c r="F943" s="17">
        <v>430</v>
      </c>
      <c r="G943" s="4" t="s">
        <v>23</v>
      </c>
      <c r="H943" s="4" t="s">
        <v>22</v>
      </c>
    </row>
    <row r="944" spans="1:8" x14ac:dyDescent="0.2">
      <c r="A944" s="4" t="str">
        <f>"10.394/001/2025"</f>
        <v>10.394/001/2025</v>
      </c>
      <c r="B944" s="4" t="str">
        <f>"SAP - Beratung bei Unfall, lebensbedrohlicher Erkrankung, Sterben und Tod"</f>
        <v>SAP - Beratung bei Unfall, lebensbedrohlicher Erkrankung, Sterben und Tod</v>
      </c>
      <c r="C944" s="5">
        <v>45705</v>
      </c>
      <c r="D944" s="5">
        <v>45706</v>
      </c>
      <c r="E944" s="4" t="str">
        <f t="shared" si="39"/>
        <v>2 Tage</v>
      </c>
      <c r="F944" s="17">
        <v>430</v>
      </c>
      <c r="G944" s="4" t="s">
        <v>23</v>
      </c>
      <c r="H944" s="4" t="s">
        <v>22</v>
      </c>
    </row>
    <row r="945" spans="1:8" x14ac:dyDescent="0.2">
      <c r="A945" s="4" t="str">
        <f>"10.395/002/2025"</f>
        <v>10.395/002/2025</v>
      </c>
      <c r="B945" s="4" t="str">
        <f>"SAP - Pflege naher Angehöriger"</f>
        <v>SAP - Pflege naher Angehöriger</v>
      </c>
      <c r="C945" s="5">
        <v>45895</v>
      </c>
      <c r="D945" s="5">
        <v>45896</v>
      </c>
      <c r="E945" s="4" t="str">
        <f t="shared" si="39"/>
        <v>2 Tage</v>
      </c>
      <c r="F945" s="17">
        <v>630</v>
      </c>
      <c r="G945" s="4" t="s">
        <v>23</v>
      </c>
      <c r="H945" s="4" t="s">
        <v>22</v>
      </c>
    </row>
    <row r="946" spans="1:8" x14ac:dyDescent="0.2">
      <c r="A946" s="4" t="str">
        <f>"10.396/001/2025"</f>
        <v>10.396/001/2025</v>
      </c>
      <c r="B946" s="4" t="str">
        <f>"SAP - Beratung bei familiären Belastungen"</f>
        <v>SAP - Beratung bei familiären Belastungen</v>
      </c>
      <c r="C946" s="5">
        <v>45967</v>
      </c>
      <c r="D946" s="5">
        <v>45968</v>
      </c>
      <c r="E946" s="4" t="str">
        <f t="shared" si="39"/>
        <v>2 Tage</v>
      </c>
      <c r="F946" s="17">
        <v>560</v>
      </c>
      <c r="G946" s="4" t="s">
        <v>23</v>
      </c>
      <c r="H946" s="4" t="s">
        <v>22</v>
      </c>
    </row>
    <row r="947" spans="1:8" x14ac:dyDescent="0.2">
      <c r="A947" s="4" t="str">
        <f>"10.399/001/2025"</f>
        <v>10.399/001/2025</v>
      </c>
      <c r="B947" s="4" t="str">
        <f>"SAP - Beratung im Umgang mit sexualisierten Gewalterfahrungen"</f>
        <v>SAP - Beratung im Umgang mit sexualisierten Gewalterfahrungen</v>
      </c>
      <c r="C947" s="5">
        <v>45945</v>
      </c>
      <c r="D947" s="5">
        <v>45945</v>
      </c>
      <c r="E947" s="4" t="str">
        <f>"1 Tag"</f>
        <v>1 Tag</v>
      </c>
      <c r="F947" s="17">
        <v>190</v>
      </c>
      <c r="G947" s="4" t="s">
        <v>23</v>
      </c>
      <c r="H947" s="4" t="s">
        <v>22</v>
      </c>
    </row>
    <row r="948" spans="1:8" x14ac:dyDescent="0.2">
      <c r="A948" s="4" t="str">
        <f>"10.715/001/2025"</f>
        <v>10.715/001/2025</v>
      </c>
      <c r="B948" s="4" t="str">
        <f>"SAP - offene Supervision für sonstige  Ressorts - nicht LKBGM"</f>
        <v>SAP - offene Supervision für sonstige  Ressorts - nicht LKBGM</v>
      </c>
      <c r="C948" s="5">
        <v>45999</v>
      </c>
      <c r="D948" s="5">
        <v>46000</v>
      </c>
      <c r="E948" s="4" t="str">
        <f>"2 Tage"</f>
        <v>2 Tage</v>
      </c>
      <c r="F948" s="17">
        <v>430</v>
      </c>
      <c r="G948" s="4" t="s">
        <v>23</v>
      </c>
      <c r="H948" s="4" t="s">
        <v>22</v>
      </c>
    </row>
    <row r="949" spans="1:8" x14ac:dyDescent="0.2">
      <c r="A949" s="4" t="str">
        <f>"11.105/001/2025"</f>
        <v>11.105/001/2025</v>
      </c>
      <c r="B949" s="4" t="str">
        <f>"New Work: Zusammenarbeit und Zielmanagement mit Objectives und Key Results (OKR)"</f>
        <v>New Work: Zusammenarbeit und Zielmanagement mit Objectives und Key Results (OKR)</v>
      </c>
      <c r="C949" s="5">
        <v>45943</v>
      </c>
      <c r="D949" s="5">
        <v>45944</v>
      </c>
      <c r="E949" s="4" t="str">
        <f>"2 Tage"</f>
        <v>2 Tage</v>
      </c>
      <c r="F949" s="17">
        <v>390</v>
      </c>
      <c r="G949" s="4" t="s">
        <v>17</v>
      </c>
      <c r="H949" s="4" t="s">
        <v>11</v>
      </c>
    </row>
    <row r="950" spans="1:8" x14ac:dyDescent="0.2">
      <c r="A950" s="4" t="str">
        <f>"11.110/001/2025"</f>
        <v>11.110/001/2025</v>
      </c>
      <c r="B950" s="4" t="str">
        <f>"New Work: Denkbar - agile Arbeitsmethoden im Wandel der Digitalisierung"</f>
        <v>New Work: Denkbar - agile Arbeitsmethoden im Wandel der Digitalisierung</v>
      </c>
      <c r="C950" s="5">
        <v>45918</v>
      </c>
      <c r="D950" s="5">
        <v>45919</v>
      </c>
      <c r="E950" s="4" t="str">
        <f>"2 Tage"</f>
        <v>2 Tage</v>
      </c>
      <c r="F950" s="17">
        <v>490</v>
      </c>
      <c r="G950" s="4" t="s">
        <v>17</v>
      </c>
      <c r="H950" s="4" t="s">
        <v>11</v>
      </c>
    </row>
    <row r="951" spans="1:8" x14ac:dyDescent="0.2">
      <c r="A951" s="4" t="str">
        <f>"11.130/001/2025"</f>
        <v>11.130/001/2025</v>
      </c>
      <c r="B951" s="4" t="str">
        <f>"New Work: Wissensmanagement als Strategie im Arbeitsalltag"</f>
        <v>New Work: Wissensmanagement als Strategie im Arbeitsalltag</v>
      </c>
      <c r="C951" s="5">
        <v>45785</v>
      </c>
      <c r="D951" s="5">
        <v>45786</v>
      </c>
      <c r="E951" s="4" t="str">
        <f>"2 Tage"</f>
        <v>2 Tage</v>
      </c>
      <c r="F951" s="17">
        <v>490</v>
      </c>
      <c r="G951" s="4" t="s">
        <v>17</v>
      </c>
      <c r="H951" s="4" t="s">
        <v>11</v>
      </c>
    </row>
    <row r="952" spans="1:8" x14ac:dyDescent="0.2">
      <c r="A952" s="4" t="str">
        <f>"11.135/001/2025"</f>
        <v>11.135/001/2025</v>
      </c>
      <c r="B952" s="4" t="str">
        <f>"New Work: Design Thinking in der Verwaltungspraxis"</f>
        <v>New Work: Design Thinking in der Verwaltungspraxis</v>
      </c>
      <c r="C952" s="5">
        <v>45712</v>
      </c>
      <c r="D952" s="5">
        <v>45713</v>
      </c>
      <c r="E952" s="4" t="str">
        <f>"2 Tage"</f>
        <v>2 Tage</v>
      </c>
      <c r="F952" s="17">
        <v>380</v>
      </c>
      <c r="G952" s="4" t="s">
        <v>17</v>
      </c>
      <c r="H952" s="4" t="s">
        <v>11</v>
      </c>
    </row>
    <row r="953" spans="1:8" x14ac:dyDescent="0.2">
      <c r="A953" s="4" t="str">
        <f>"11.140/001/2025"</f>
        <v>11.140/001/2025</v>
      </c>
      <c r="B953" s="4" t="str">
        <f>"New Work: Kanban  Arbeitsplanung leicht gemacht"</f>
        <v>New Work: Kanban  Arbeitsplanung leicht gemacht</v>
      </c>
      <c r="C953" s="5">
        <v>45975</v>
      </c>
      <c r="D953" s="5">
        <v>45975</v>
      </c>
      <c r="E953" s="4" t="str">
        <f>"1 Tag"</f>
        <v>1 Tag</v>
      </c>
      <c r="F953" s="17">
        <v>220</v>
      </c>
      <c r="G953" s="4" t="s">
        <v>17</v>
      </c>
      <c r="H953" s="4" t="s">
        <v>11</v>
      </c>
    </row>
    <row r="954" spans="1:8" x14ac:dyDescent="0.2">
      <c r="A954" s="4" t="str">
        <f>"11.145/001/2025"</f>
        <v>11.145/001/2025</v>
      </c>
      <c r="B954" s="4" t="str">
        <f>"New Work: Agiles Projektmanagement - neue Methoden im dynamischen Umfeld"</f>
        <v>New Work: Agiles Projektmanagement - neue Methoden im dynamischen Umfeld</v>
      </c>
      <c r="C954" s="5">
        <v>46002</v>
      </c>
      <c r="D954" s="5">
        <v>46003</v>
      </c>
      <c r="E954" s="4" t="str">
        <f>"2 Tage"</f>
        <v>2 Tage</v>
      </c>
      <c r="F954" s="17">
        <v>490</v>
      </c>
      <c r="G954" s="4" t="s">
        <v>17</v>
      </c>
      <c r="H954" s="4" t="s">
        <v>11</v>
      </c>
    </row>
    <row r="955" spans="1:8" x14ac:dyDescent="0.2">
      <c r="A955" s="4" t="str">
        <f>"11.150/001/2025"</f>
        <v>11.150/001/2025</v>
      </c>
      <c r="B955" s="4" t="str">
        <f>"Komplexe Aufgaben meistern: Agiles Projektmanagement mit Scrum"</f>
        <v>Komplexe Aufgaben meistern: Agiles Projektmanagement mit Scrum</v>
      </c>
      <c r="C955" s="5">
        <v>45846</v>
      </c>
      <c r="D955" s="5">
        <v>45847</v>
      </c>
      <c r="E955" s="4" t="str">
        <f>"2 Tage"</f>
        <v>2 Tage</v>
      </c>
      <c r="F955" s="17">
        <v>420</v>
      </c>
      <c r="G955" s="4" t="s">
        <v>17</v>
      </c>
      <c r="H955" s="4" t="s">
        <v>11</v>
      </c>
    </row>
    <row r="956" spans="1:8" x14ac:dyDescent="0.2">
      <c r="A956" s="4" t="str">
        <f>"11.165/001/2025"</f>
        <v>11.165/001/2025</v>
      </c>
      <c r="B956" s="4" t="str">
        <f>"New Work: LEGO Serious Play als innovative Problemlösungs-, Kreativitäts- und Kommunikationsmethode - ein 3-D-Drucker für unsere Gedanken und Ideen"</f>
        <v>New Work: LEGO Serious Play als innovative Problemlösungs-, Kreativitäts- und Kommunikationsmethode - ein 3-D-Drucker für unsere Gedanken und Ideen</v>
      </c>
      <c r="C956" s="5">
        <v>45961</v>
      </c>
      <c r="D956" s="5">
        <v>45961</v>
      </c>
      <c r="E956" s="4" t="str">
        <f>"1 Tag"</f>
        <v>1 Tag</v>
      </c>
      <c r="F956" s="17">
        <v>220</v>
      </c>
      <c r="G956" s="4" t="s">
        <v>17</v>
      </c>
      <c r="H956" s="4" t="s">
        <v>11</v>
      </c>
    </row>
    <row r="957" spans="1:8" x14ac:dyDescent="0.2">
      <c r="A957" s="4" t="str">
        <f>"11.170/001/2025"</f>
        <v>11.170/001/2025</v>
      </c>
      <c r="B957" s="4" t="str">
        <f>"New Work: Ein Koffer voller Workhacks - kreative Lösungen aus dem agilen Arbeiten für Erfolge in der Digitalisierung"</f>
        <v>New Work: Ein Koffer voller Workhacks - kreative Lösungen aus dem agilen Arbeiten für Erfolge in der Digitalisierung</v>
      </c>
      <c r="C957" s="5">
        <v>45860</v>
      </c>
      <c r="D957" s="5">
        <v>45861</v>
      </c>
      <c r="E957" s="4" t="str">
        <f>"2 Tage"</f>
        <v>2 Tage</v>
      </c>
      <c r="F957" s="17">
        <v>490</v>
      </c>
      <c r="G957" s="4" t="s">
        <v>17</v>
      </c>
      <c r="H957" s="4" t="s">
        <v>11</v>
      </c>
    </row>
    <row r="958" spans="1:8" x14ac:dyDescent="0.2">
      <c r="A958" s="4" t="str">
        <f>"11.210/001/2025"</f>
        <v>11.210/001/2025</v>
      </c>
      <c r="B958" s="4" t="str">
        <f>"Organisationsarbeit - Einführung"</f>
        <v>Organisationsarbeit - Einführung</v>
      </c>
      <c r="C958" s="5">
        <v>45845</v>
      </c>
      <c r="D958" s="5">
        <v>45847</v>
      </c>
      <c r="E958" s="4" t="str">
        <f>"3 Tage"</f>
        <v>3 Tage</v>
      </c>
      <c r="F958" s="17">
        <v>760</v>
      </c>
      <c r="G958" s="4" t="s">
        <v>17</v>
      </c>
      <c r="H958" s="4" t="s">
        <v>11</v>
      </c>
    </row>
    <row r="959" spans="1:8" x14ac:dyDescent="0.2">
      <c r="A959" s="4" t="str">
        <f>"11.215/001/2025"</f>
        <v>11.215/001/2025</v>
      </c>
      <c r="B959" s="4" t="str">
        <f>"Leadership und Change Management"</f>
        <v>Leadership und Change Management</v>
      </c>
      <c r="C959" s="5">
        <v>45985</v>
      </c>
      <c r="D959" s="5">
        <v>45987</v>
      </c>
      <c r="E959" s="4" t="str">
        <f>"3 Tage"</f>
        <v>3 Tage</v>
      </c>
      <c r="F959" s="17">
        <v>760</v>
      </c>
      <c r="G959" s="4" t="s">
        <v>17</v>
      </c>
      <c r="H959" s="4" t="s">
        <v>11</v>
      </c>
    </row>
    <row r="960" spans="1:8" x14ac:dyDescent="0.2">
      <c r="A960" s="4" t="str">
        <f>"11.220/001/2025"</f>
        <v>11.220/001/2025</v>
      </c>
      <c r="B960" s="4" t="str">
        <f>"Veränderungsprozesse gemeinsam gestalten"</f>
        <v>Veränderungsprozesse gemeinsam gestalten</v>
      </c>
      <c r="C960" s="5">
        <v>45834</v>
      </c>
      <c r="D960" s="5">
        <v>45835</v>
      </c>
      <c r="E960" s="4" t="str">
        <f>"2 Tage"</f>
        <v>2 Tage</v>
      </c>
      <c r="F960" s="17">
        <v>490</v>
      </c>
      <c r="G960" s="4" t="s">
        <v>17</v>
      </c>
      <c r="H960" s="4" t="s">
        <v>11</v>
      </c>
    </row>
    <row r="961" spans="1:8" x14ac:dyDescent="0.2">
      <c r="A961" s="4" t="str">
        <f>"11.222/001/2025"</f>
        <v>11.222/001/2025</v>
      </c>
      <c r="B961" s="4" t="str">
        <f>"Workshop: Change Agents"</f>
        <v>Workshop: Change Agents</v>
      </c>
      <c r="C961" s="5">
        <v>45736</v>
      </c>
      <c r="D961" s="5">
        <v>45831</v>
      </c>
      <c r="E961" s="4" t="str">
        <f>"2 x 2 + 1 Tag"</f>
        <v>2 x 2 + 1 Tag</v>
      </c>
      <c r="F961" s="17">
        <v>1470</v>
      </c>
      <c r="G961" s="4"/>
      <c r="H961" s="4" t="s">
        <v>11</v>
      </c>
    </row>
    <row r="962" spans="1:8" x14ac:dyDescent="0.2">
      <c r="A962" s="4" t="str">
        <f>"11.222/001 a/2025"</f>
        <v>11.222/001 a/2025</v>
      </c>
      <c r="B962" s="4" t="str">
        <f>"Teil 1: Rolle des Change Agent"</f>
        <v>Teil 1: Rolle des Change Agent</v>
      </c>
      <c r="C962" s="5">
        <v>45736</v>
      </c>
      <c r="D962" s="5">
        <v>45737</v>
      </c>
      <c r="E962" s="4"/>
      <c r="F962" s="17"/>
      <c r="G962" s="4" t="s">
        <v>17</v>
      </c>
      <c r="H962" s="4" t="s">
        <v>11</v>
      </c>
    </row>
    <row r="963" spans="1:8" x14ac:dyDescent="0.2">
      <c r="A963" s="4" t="str">
        <f>"11.222/001 b/2025"</f>
        <v>11.222/001 b/2025</v>
      </c>
      <c r="B963" s="4" t="str">
        <f>"Teil 2: Tools für Kommunikation, Moderation und Change"</f>
        <v>Teil 2: Tools für Kommunikation, Moderation und Change</v>
      </c>
      <c r="C963" s="5">
        <v>45785</v>
      </c>
      <c r="D963" s="5">
        <v>45786</v>
      </c>
      <c r="E963" s="4"/>
      <c r="F963" s="17"/>
      <c r="G963" s="4" t="s">
        <v>17</v>
      </c>
      <c r="H963" s="4" t="s">
        <v>11</v>
      </c>
    </row>
    <row r="964" spans="1:8" x14ac:dyDescent="0.2">
      <c r="A964" s="4" t="str">
        <f>"11.222/001 c/2025"</f>
        <v>11.222/001 c/2025</v>
      </c>
      <c r="B964" s="4" t="str">
        <f>"Teil 3: Follow-Up"</f>
        <v>Teil 3: Follow-Up</v>
      </c>
      <c r="C964" s="5">
        <v>45831</v>
      </c>
      <c r="D964" s="5">
        <v>45831</v>
      </c>
      <c r="E964" s="4"/>
      <c r="F964" s="17"/>
      <c r="G964" s="4" t="s">
        <v>17</v>
      </c>
      <c r="H964" s="4" t="s">
        <v>11</v>
      </c>
    </row>
    <row r="965" spans="1:8" x14ac:dyDescent="0.2">
      <c r="A965" s="4" t="str">
        <f>"11.225/001/2025"</f>
        <v>11.225/001/2025</v>
      </c>
      <c r="B965" s="4" t="str">
        <f>"Veränderungsprozesse optimieren"</f>
        <v>Veränderungsprozesse optimieren</v>
      </c>
      <c r="C965" s="5">
        <v>45820</v>
      </c>
      <c r="D965" s="5">
        <v>45821</v>
      </c>
      <c r="E965" s="4" t="str">
        <f>"2 Tage"</f>
        <v>2 Tage</v>
      </c>
      <c r="F965" s="17">
        <v>490</v>
      </c>
      <c r="G965" s="4" t="s">
        <v>17</v>
      </c>
      <c r="H965" s="4" t="s">
        <v>11</v>
      </c>
    </row>
    <row r="966" spans="1:8" x14ac:dyDescent="0.2">
      <c r="A966" s="4" t="str">
        <f>"11.227/001/2025"</f>
        <v>11.227/001/2025</v>
      </c>
      <c r="B966" s="4" t="str">
        <f>"Organisationen - das Potenzial von Innovationen nutzen"</f>
        <v>Organisationen - das Potenzial von Innovationen nutzen</v>
      </c>
      <c r="C966" s="5">
        <v>45818</v>
      </c>
      <c r="D966" s="5">
        <v>45818</v>
      </c>
      <c r="E966" s="4" t="str">
        <f>"1 Tag"</f>
        <v>1 Tag</v>
      </c>
      <c r="F966" s="17">
        <v>220</v>
      </c>
      <c r="G966" s="4" t="s">
        <v>17</v>
      </c>
      <c r="H966" s="4" t="s">
        <v>11</v>
      </c>
    </row>
    <row r="967" spans="1:8" x14ac:dyDescent="0.2">
      <c r="A967" s="4" t="str">
        <f>"11.230/001/2025"</f>
        <v>11.230/001/2025</v>
      </c>
      <c r="B967" s="4" t="str">
        <f>"Verwaltung 4.0 - den digitalen Wandel gestalten"</f>
        <v>Verwaltung 4.0 - den digitalen Wandel gestalten</v>
      </c>
      <c r="C967" s="5">
        <v>45978</v>
      </c>
      <c r="D967" s="5">
        <v>45979</v>
      </c>
      <c r="E967" s="4" t="str">
        <f>"2 Tage"</f>
        <v>2 Tage</v>
      </c>
      <c r="F967" s="17">
        <v>490</v>
      </c>
      <c r="G967" s="4" t="s">
        <v>17</v>
      </c>
      <c r="H967" s="4" t="s">
        <v>11</v>
      </c>
    </row>
    <row r="968" spans="1:8" x14ac:dyDescent="0.2">
      <c r="A968" s="4" t="str">
        <f>"11.245/001/2025"</f>
        <v>11.245/001/2025</v>
      </c>
      <c r="B968" s="4" t="str">
        <f>"Change Management für Führungskräfte"</f>
        <v>Change Management für Führungskräfte</v>
      </c>
      <c r="C968" s="5">
        <v>45733</v>
      </c>
      <c r="D968" s="5">
        <v>45735</v>
      </c>
      <c r="E968" s="4" t="str">
        <f>"3 Tage "</f>
        <v xml:space="preserve">3 Tage </v>
      </c>
      <c r="F968" s="17">
        <v>760</v>
      </c>
      <c r="G968" s="4" t="s">
        <v>17</v>
      </c>
      <c r="H968" s="4" t="s">
        <v>11</v>
      </c>
    </row>
    <row r="969" spans="1:8" x14ac:dyDescent="0.2">
      <c r="A969" s="4" t="str">
        <f>"11.255/001/2025"</f>
        <v>11.255/001/2025</v>
      </c>
      <c r="B969" s="4" t="str">
        <f>"Künstliche Intelligenz, Digitalisierung und Landesverwaltung - Herausforderungen und Chancen"</f>
        <v>Künstliche Intelligenz, Digitalisierung und Landesverwaltung - Herausforderungen und Chancen</v>
      </c>
      <c r="C969" s="5">
        <v>45785</v>
      </c>
      <c r="D969" s="5">
        <v>45786</v>
      </c>
      <c r="E969" s="4" t="str">
        <f>"2 Tage"</f>
        <v>2 Tage</v>
      </c>
      <c r="F969" s="17">
        <v>460</v>
      </c>
      <c r="G969" s="4" t="s">
        <v>17</v>
      </c>
      <c r="H969" s="4" t="s">
        <v>11</v>
      </c>
    </row>
    <row r="970" spans="1:8" x14ac:dyDescent="0.2">
      <c r="A970" s="4" t="str">
        <f>"11.255/002/2025"</f>
        <v>11.255/002/2025</v>
      </c>
      <c r="B970" s="4" t="str">
        <f>"Künstliche Intelligenz, Digitalisierung und Landesverwaltung - Herausforderungen und Chancen"</f>
        <v>Künstliche Intelligenz, Digitalisierung und Landesverwaltung - Herausforderungen und Chancen</v>
      </c>
      <c r="C970" s="5">
        <v>45988</v>
      </c>
      <c r="D970" s="5">
        <v>45989</v>
      </c>
      <c r="E970" s="4" t="str">
        <f>"2 Tage"</f>
        <v>2 Tage</v>
      </c>
      <c r="F970" s="17">
        <v>460</v>
      </c>
      <c r="G970" s="4" t="s">
        <v>17</v>
      </c>
      <c r="H970" s="4" t="s">
        <v>11</v>
      </c>
    </row>
    <row r="971" spans="1:8" x14ac:dyDescent="0.2">
      <c r="A971" s="4" t="str">
        <f>"11.258/001/2025"</f>
        <v>11.258/001/2025</v>
      </c>
      <c r="B971" s="4" t="str">
        <f>"Workshop: Digitalisierung und neue Technologien-  Umsetzungsmöglichkeiten in der Organisation"</f>
        <v>Workshop: Digitalisierung und neue Technologien-  Umsetzungsmöglichkeiten in der Organisation</v>
      </c>
      <c r="C971" s="5">
        <v>45691</v>
      </c>
      <c r="D971" s="5">
        <v>45744</v>
      </c>
      <c r="E971" s="4" t="str">
        <f>"2 x 1 Tag"</f>
        <v>2 x 1 Tag</v>
      </c>
      <c r="F971" s="17">
        <v>440</v>
      </c>
      <c r="G971" s="4"/>
      <c r="H971" s="4" t="s">
        <v>11</v>
      </c>
    </row>
    <row r="972" spans="1:8" x14ac:dyDescent="0.2">
      <c r="A972" s="4" t="str">
        <f>"11.258/001 a/2025"</f>
        <v>11.258/001 a/2025</v>
      </c>
      <c r="B972" s="4" t="str">
        <f>"Workshop: Digitalisierung und neue Technologien-  Umsetzungsmöglichkeiten in der Organisation "</f>
        <v xml:space="preserve">Workshop: Digitalisierung und neue Technologien-  Umsetzungsmöglichkeiten in der Organisation </v>
      </c>
      <c r="C972" s="5">
        <v>45691</v>
      </c>
      <c r="D972" s="5">
        <v>45691</v>
      </c>
      <c r="E972" s="4"/>
      <c r="F972" s="17"/>
      <c r="G972" s="4" t="s">
        <v>17</v>
      </c>
      <c r="H972" s="4" t="s">
        <v>11</v>
      </c>
    </row>
    <row r="973" spans="1:8" x14ac:dyDescent="0.2">
      <c r="A973" s="4" t="str">
        <f>"11.258/001 b/2025"</f>
        <v>11.258/001 b/2025</v>
      </c>
      <c r="B973" s="4" t="str">
        <f>"Workshop: Digitalisierung und neue Technologien-  Umsetzungsmöglichkeiten in der Organisation "</f>
        <v xml:space="preserve">Workshop: Digitalisierung und neue Technologien-  Umsetzungsmöglichkeiten in der Organisation </v>
      </c>
      <c r="C973" s="5">
        <v>45744</v>
      </c>
      <c r="D973" s="5">
        <v>45744</v>
      </c>
      <c r="E973" s="4"/>
      <c r="F973" s="17"/>
      <c r="G973" s="4" t="s">
        <v>17</v>
      </c>
      <c r="H973" s="4" t="s">
        <v>11</v>
      </c>
    </row>
    <row r="974" spans="1:8" x14ac:dyDescent="0.2">
      <c r="A974" s="4" t="str">
        <f>"11.260/001/2025"</f>
        <v>11.260/001/2025</v>
      </c>
      <c r="B974" s="4" t="str">
        <f>"Workshop: Aus Fehlern lernen - Potenziale einer positiven Fehlerkultur für Individuum, Team und Organisation"</f>
        <v>Workshop: Aus Fehlern lernen - Potenziale einer positiven Fehlerkultur für Individuum, Team und Organisation</v>
      </c>
      <c r="C974" s="5">
        <v>45761</v>
      </c>
      <c r="D974" s="5">
        <v>45762</v>
      </c>
      <c r="E974" s="4" t="str">
        <f>"2 Tage"</f>
        <v>2 Tage</v>
      </c>
      <c r="F974" s="17">
        <v>490</v>
      </c>
      <c r="G974" s="4" t="s">
        <v>17</v>
      </c>
      <c r="H974" s="4" t="s">
        <v>11</v>
      </c>
    </row>
    <row r="975" spans="1:8" x14ac:dyDescent="0.2">
      <c r="A975" s="4" t="str">
        <f>"11.265/001/2025"</f>
        <v>11.265/001/2025</v>
      </c>
      <c r="B975" s="4" t="str">
        <f>"Schriftgutverwaltung und Aktenführung für Führungskräfte"</f>
        <v>Schriftgutverwaltung und Aktenführung für Führungskräfte</v>
      </c>
      <c r="C975" s="5">
        <v>45814</v>
      </c>
      <c r="D975" s="5">
        <v>45814</v>
      </c>
      <c r="E975" s="4" t="str">
        <f>"1 Tag"</f>
        <v>1 Tag</v>
      </c>
      <c r="F975" s="17">
        <v>220</v>
      </c>
      <c r="G975" s="4" t="s">
        <v>17</v>
      </c>
      <c r="H975" s="4" t="s">
        <v>11</v>
      </c>
    </row>
    <row r="976" spans="1:8" x14ac:dyDescent="0.2">
      <c r="A976" s="4" t="str">
        <f>"11.270/001/2025"</f>
        <v>11.270/001/2025</v>
      </c>
      <c r="B976" s="4" t="str">
        <f>"Nachhaltigkeit in der Verwaltung - der Beitrag aus Sicht der Verwaltung"</f>
        <v>Nachhaltigkeit in der Verwaltung - der Beitrag aus Sicht der Verwaltung</v>
      </c>
      <c r="C976" s="5">
        <v>45789</v>
      </c>
      <c r="D976" s="5">
        <v>45790</v>
      </c>
      <c r="E976" s="4" t="str">
        <f>"2 Tage"</f>
        <v>2 Tage</v>
      </c>
      <c r="F976" s="17">
        <v>270</v>
      </c>
      <c r="G976" s="4" t="s">
        <v>17</v>
      </c>
      <c r="H976" s="4" t="s">
        <v>11</v>
      </c>
    </row>
    <row r="977" spans="1:8" x14ac:dyDescent="0.2">
      <c r="A977" s="4" t="str">
        <f>"11.310/001/2025"</f>
        <v>11.310/001/2025</v>
      </c>
      <c r="B977" s="4" t="str">
        <f>"Projektmanagement - Einführung"</f>
        <v>Projektmanagement - Einführung</v>
      </c>
      <c r="C977" s="5">
        <v>45693</v>
      </c>
      <c r="D977" s="5">
        <v>45695</v>
      </c>
      <c r="E977" s="4" t="str">
        <f>"3 Tage"</f>
        <v>3 Tage</v>
      </c>
      <c r="F977" s="17">
        <v>760</v>
      </c>
      <c r="G977" s="4" t="s">
        <v>17</v>
      </c>
      <c r="H977" s="4" t="s">
        <v>11</v>
      </c>
    </row>
    <row r="978" spans="1:8" x14ac:dyDescent="0.2">
      <c r="A978" s="4" t="str">
        <f>"11.310/002/2025"</f>
        <v>11.310/002/2025</v>
      </c>
      <c r="B978" s="4" t="str">
        <f>"Projektmanagement - Einführung"</f>
        <v>Projektmanagement - Einführung</v>
      </c>
      <c r="C978" s="5">
        <v>45810</v>
      </c>
      <c r="D978" s="5">
        <v>45812</v>
      </c>
      <c r="E978" s="4" t="str">
        <f>"3 Tage"</f>
        <v>3 Tage</v>
      </c>
      <c r="F978" s="17">
        <v>760</v>
      </c>
      <c r="G978" s="4" t="s">
        <v>17</v>
      </c>
      <c r="H978" s="4" t="s">
        <v>11</v>
      </c>
    </row>
    <row r="979" spans="1:8" x14ac:dyDescent="0.2">
      <c r="A979" s="4" t="str">
        <f>"11.310/003/2025"</f>
        <v>11.310/003/2025</v>
      </c>
      <c r="B979" s="4" t="str">
        <f>"Projektmanagement - Einführung"</f>
        <v>Projektmanagement - Einführung</v>
      </c>
      <c r="C979" s="5">
        <v>45868</v>
      </c>
      <c r="D979" s="5">
        <v>45870</v>
      </c>
      <c r="E979" s="4" t="str">
        <f>"3 Tage"</f>
        <v>3 Tage</v>
      </c>
      <c r="F979" s="17">
        <v>760</v>
      </c>
      <c r="G979" s="4" t="s">
        <v>17</v>
      </c>
      <c r="H979" s="4" t="s">
        <v>11</v>
      </c>
    </row>
    <row r="980" spans="1:8" x14ac:dyDescent="0.2">
      <c r="A980" s="4" t="str">
        <f>"11.320/001/2025"</f>
        <v>11.320/001/2025</v>
      </c>
      <c r="B980" s="4" t="str">
        <f>"Projektmanagement für Projektleitungen - Vertiefung"</f>
        <v>Projektmanagement für Projektleitungen - Vertiefung</v>
      </c>
      <c r="C980" s="5">
        <v>45911</v>
      </c>
      <c r="D980" s="5">
        <v>45912</v>
      </c>
      <c r="E980" s="4" t="str">
        <f>"2 Tage"</f>
        <v>2 Tage</v>
      </c>
      <c r="F980" s="17">
        <v>490</v>
      </c>
      <c r="G980" s="4" t="s">
        <v>17</v>
      </c>
      <c r="H980" s="4" t="s">
        <v>11</v>
      </c>
    </row>
    <row r="981" spans="1:8" x14ac:dyDescent="0.2">
      <c r="A981" s="4" t="str">
        <f>"11.325/001/2025"</f>
        <v>11.325/001/2025</v>
      </c>
      <c r="B981" s="4" t="str">
        <f>"Hybrides Projektmanagement- Projekte effizient und schnell steuern"</f>
        <v>Hybrides Projektmanagement- Projekte effizient und schnell steuern</v>
      </c>
      <c r="C981" s="5">
        <v>45936</v>
      </c>
      <c r="D981" s="5">
        <v>45936</v>
      </c>
      <c r="E981" s="4" t="str">
        <f>"1 Tag"</f>
        <v>1 Tag</v>
      </c>
      <c r="F981" s="17">
        <v>220</v>
      </c>
      <c r="G981" s="4" t="s">
        <v>17</v>
      </c>
      <c r="H981" s="4" t="s">
        <v>11</v>
      </c>
    </row>
    <row r="982" spans="1:8" x14ac:dyDescent="0.2">
      <c r="A982" s="4" t="str">
        <f>"11.330/001/2025"</f>
        <v>11.330/001/2025</v>
      </c>
      <c r="B982" s="4" t="str">
        <f>"Projektmanagement nach der PRINCE2-Methode - Grundlagen"</f>
        <v>Projektmanagement nach der PRINCE2-Methode - Grundlagen</v>
      </c>
      <c r="C982" s="5">
        <v>45937</v>
      </c>
      <c r="D982" s="5">
        <v>45938</v>
      </c>
      <c r="E982" s="4" t="str">
        <f>"2 Tage"</f>
        <v>2 Tage</v>
      </c>
      <c r="F982" s="17">
        <v>490</v>
      </c>
      <c r="G982" s="4" t="s">
        <v>17</v>
      </c>
      <c r="H982" s="4" t="s">
        <v>11</v>
      </c>
    </row>
    <row r="983" spans="1:8" x14ac:dyDescent="0.2">
      <c r="A983" s="4" t="str">
        <f>"11.340/001/2025"</f>
        <v>11.340/001/2025</v>
      </c>
      <c r="B983" s="4" t="str">
        <f>"Erste-Hilfe-Koffer für Projektprobleme - vom Stillstand zum Endergebnis. Tools für Planung, Durchführung und professionellem Abschluss der Projekte"</f>
        <v>Erste-Hilfe-Koffer für Projektprobleme - vom Stillstand zum Endergebnis. Tools für Planung, Durchführung und professionellem Abschluss der Projekte</v>
      </c>
      <c r="C983" s="5">
        <v>45733</v>
      </c>
      <c r="D983" s="5">
        <v>45810</v>
      </c>
      <c r="E983" s="4" t="str">
        <f>"2 Tage am Block analog, 1 Tag online, 1 Tag analog"</f>
        <v>2 Tage am Block analog, 1 Tag online, 1 Tag analog</v>
      </c>
      <c r="F983" s="17">
        <v>1010</v>
      </c>
      <c r="G983" s="4"/>
      <c r="H983" s="4" t="s">
        <v>11</v>
      </c>
    </row>
    <row r="984" spans="1:8" x14ac:dyDescent="0.2">
      <c r="A984" s="4" t="str">
        <f>"11.340/001 a/2025"</f>
        <v>11.340/001 a/2025</v>
      </c>
      <c r="B984" s="4" t="str">
        <f>"Erste Hilfe Koffer für Projektprobleme"</f>
        <v>Erste Hilfe Koffer für Projektprobleme</v>
      </c>
      <c r="C984" s="5">
        <v>45733</v>
      </c>
      <c r="D984" s="5">
        <v>45734</v>
      </c>
      <c r="E984" s="4"/>
      <c r="F984" s="17"/>
      <c r="G984" s="4" t="s">
        <v>17</v>
      </c>
      <c r="H984" s="4" t="s">
        <v>11</v>
      </c>
    </row>
    <row r="985" spans="1:8" x14ac:dyDescent="0.2">
      <c r="A985" s="4" t="str">
        <f>"11.340/001 b/2025"</f>
        <v>11.340/001 b/2025</v>
      </c>
      <c r="B985" s="4" t="str">
        <f>"Erste Hilfe Koffer für Projektprobleme - online "</f>
        <v xml:space="preserve">Erste Hilfe Koffer für Projektprobleme - online </v>
      </c>
      <c r="C985" s="5">
        <v>45777</v>
      </c>
      <c r="D985" s="5">
        <v>45777</v>
      </c>
      <c r="E985" s="4"/>
      <c r="F985" s="17"/>
      <c r="G985" s="4" t="s">
        <v>17</v>
      </c>
      <c r="H985" s="4" t="s">
        <v>11</v>
      </c>
    </row>
    <row r="986" spans="1:8" x14ac:dyDescent="0.2">
      <c r="A986" s="4" t="str">
        <f>"11.340/001 c/2025"</f>
        <v>11.340/001 c/2025</v>
      </c>
      <c r="B986" s="4" t="str">
        <f>"Erste Hilfe Koffer für Projektprobleme"</f>
        <v>Erste Hilfe Koffer für Projektprobleme</v>
      </c>
      <c r="C986" s="5">
        <v>45810</v>
      </c>
      <c r="D986" s="5">
        <v>45810</v>
      </c>
      <c r="E986" s="4"/>
      <c r="F986" s="17"/>
      <c r="G986" s="4" t="s">
        <v>17</v>
      </c>
      <c r="H986" s="4" t="s">
        <v>11</v>
      </c>
    </row>
    <row r="987" spans="1:8" x14ac:dyDescent="0.2">
      <c r="A987" s="4" t="str">
        <f>"11.350/001/2025"</f>
        <v>11.350/001/2025</v>
      </c>
      <c r="B987" s="4" t="str">
        <f>"Prozessorientiertes Projektmanagement als Führungsaufgabe"</f>
        <v>Prozessorientiertes Projektmanagement als Führungsaufgabe</v>
      </c>
      <c r="C987" s="5">
        <v>45812</v>
      </c>
      <c r="D987" s="5">
        <v>45813</v>
      </c>
      <c r="E987" s="4" t="str">
        <f>"2 Tage"</f>
        <v>2 Tage</v>
      </c>
      <c r="F987" s="17">
        <v>490</v>
      </c>
      <c r="G987" s="4" t="s">
        <v>18</v>
      </c>
      <c r="H987" s="4" t="s">
        <v>11</v>
      </c>
    </row>
    <row r="988" spans="1:8" x14ac:dyDescent="0.2">
      <c r="A988" s="4" t="str">
        <f>"11.410/001/2025"</f>
        <v>11.410/001/2025</v>
      </c>
      <c r="B988" s="4" t="str">
        <f>"Geschäftsprozessanalyse und -optimierung"</f>
        <v>Geschäftsprozessanalyse und -optimierung</v>
      </c>
      <c r="C988" s="5">
        <v>45684</v>
      </c>
      <c r="D988" s="5">
        <v>45722</v>
      </c>
      <c r="E988" s="4" t="str">
        <f>"2x2 Tage"</f>
        <v>2x2 Tage</v>
      </c>
      <c r="F988" s="17">
        <v>990</v>
      </c>
      <c r="G988" s="4"/>
      <c r="H988" s="4" t="s">
        <v>11</v>
      </c>
    </row>
    <row r="989" spans="1:8" x14ac:dyDescent="0.2">
      <c r="A989" s="4" t="str">
        <f>"11.410/001 a/2025"</f>
        <v>11.410/001 a/2025</v>
      </c>
      <c r="B989" s="4" t="str">
        <f>"Geschäftsprozessanalyse und -optimierung "</f>
        <v xml:space="preserve">Geschäftsprozessanalyse und -optimierung </v>
      </c>
      <c r="C989" s="5">
        <v>45684</v>
      </c>
      <c r="D989" s="5">
        <v>45685</v>
      </c>
      <c r="E989" s="4"/>
      <c r="F989" s="17"/>
      <c r="G989" s="4" t="s">
        <v>17</v>
      </c>
      <c r="H989" s="4" t="s">
        <v>11</v>
      </c>
    </row>
    <row r="990" spans="1:8" x14ac:dyDescent="0.2">
      <c r="A990" s="4" t="str">
        <f>"11.410/001 b/2025"</f>
        <v>11.410/001 b/2025</v>
      </c>
      <c r="B990" s="4" t="str">
        <f>"Geschäftsprozessanalyse und -optimierung"</f>
        <v>Geschäftsprozessanalyse und -optimierung</v>
      </c>
      <c r="C990" s="5">
        <v>45721</v>
      </c>
      <c r="D990" s="5">
        <v>45722</v>
      </c>
      <c r="E990" s="4"/>
      <c r="F990" s="17"/>
      <c r="G990" s="4" t="s">
        <v>17</v>
      </c>
      <c r="H990" s="4" t="s">
        <v>11</v>
      </c>
    </row>
    <row r="991" spans="1:8" x14ac:dyDescent="0.2">
      <c r="A991" s="4" t="str">
        <f>"11.410/002/2025"</f>
        <v>11.410/002/2025</v>
      </c>
      <c r="B991" s="4" t="str">
        <f>"Geschäftsprozessanalyse und -optimierung"</f>
        <v>Geschäftsprozessanalyse und -optimierung</v>
      </c>
      <c r="C991" s="5">
        <v>45775</v>
      </c>
      <c r="D991" s="5">
        <v>45839</v>
      </c>
      <c r="E991" s="4" t="str">
        <f>"2x2 Tage"</f>
        <v>2x2 Tage</v>
      </c>
      <c r="F991" s="17">
        <v>990</v>
      </c>
      <c r="G991" s="4"/>
      <c r="H991" s="4" t="s">
        <v>22</v>
      </c>
    </row>
    <row r="992" spans="1:8" x14ac:dyDescent="0.2">
      <c r="A992" s="4" t="str">
        <f>"11.410/002 a/2025"</f>
        <v>11.410/002 a/2025</v>
      </c>
      <c r="B992" s="4" t="str">
        <f>"Geschäftsprozessanalyse und -optimierung "</f>
        <v xml:space="preserve">Geschäftsprozessanalyse und -optimierung </v>
      </c>
      <c r="C992" s="5">
        <v>45775</v>
      </c>
      <c r="D992" s="5">
        <v>45776</v>
      </c>
      <c r="E992" s="4"/>
      <c r="F992" s="17"/>
      <c r="G992" s="4" t="s">
        <v>17</v>
      </c>
      <c r="H992" s="4" t="s">
        <v>11</v>
      </c>
    </row>
    <row r="993" spans="1:8" x14ac:dyDescent="0.2">
      <c r="A993" s="4" t="str">
        <f>"11.410/002 b/2025"</f>
        <v>11.410/002 b/2025</v>
      </c>
      <c r="B993" s="4" t="str">
        <f>"Geschäftsprozessanalyse und -optimierung"</f>
        <v>Geschäftsprozessanalyse und -optimierung</v>
      </c>
      <c r="C993" s="5">
        <v>45838</v>
      </c>
      <c r="D993" s="5">
        <v>45839</v>
      </c>
      <c r="E993" s="4"/>
      <c r="F993" s="17"/>
      <c r="G993" s="4" t="s">
        <v>17</v>
      </c>
      <c r="H993" s="4" t="s">
        <v>11</v>
      </c>
    </row>
    <row r="994" spans="1:8" x14ac:dyDescent="0.2">
      <c r="A994" s="4" t="str">
        <f>"11.420/001/2025"</f>
        <v>11.420/001/2025</v>
      </c>
      <c r="B994" s="4" t="str">
        <f>"Qualitätsmanagement - Einführung"</f>
        <v>Qualitätsmanagement - Einführung</v>
      </c>
      <c r="C994" s="5">
        <v>45943</v>
      </c>
      <c r="D994" s="5">
        <v>45975</v>
      </c>
      <c r="E994" s="4" t="str">
        <f>"2x2 Tage"</f>
        <v>2x2 Tage</v>
      </c>
      <c r="F994" s="17">
        <v>990</v>
      </c>
      <c r="G994" s="4"/>
      <c r="H994" s="4" t="s">
        <v>22</v>
      </c>
    </row>
    <row r="995" spans="1:8" x14ac:dyDescent="0.2">
      <c r="A995" s="4" t="str">
        <f>"11.420/001 a/2025"</f>
        <v>11.420/001 a/2025</v>
      </c>
      <c r="B995" s="4" t="str">
        <f>"Qualitätsmanagement - Einführung"</f>
        <v>Qualitätsmanagement - Einführung</v>
      </c>
      <c r="C995" s="5">
        <v>45943</v>
      </c>
      <c r="D995" s="5">
        <v>45944</v>
      </c>
      <c r="E995" s="4"/>
      <c r="F995" s="17"/>
      <c r="G995" s="4" t="s">
        <v>17</v>
      </c>
      <c r="H995" s="4" t="s">
        <v>11</v>
      </c>
    </row>
    <row r="996" spans="1:8" x14ac:dyDescent="0.2">
      <c r="A996" s="4" t="str">
        <f>"11.420/001 b/2025"</f>
        <v>11.420/001 b/2025</v>
      </c>
      <c r="B996" s="4" t="str">
        <f>"Qualitätsmanagement - Einführung"</f>
        <v>Qualitätsmanagement - Einführung</v>
      </c>
      <c r="C996" s="5">
        <v>45974</v>
      </c>
      <c r="D996" s="5">
        <v>45975</v>
      </c>
      <c r="E996" s="4"/>
      <c r="F996" s="17"/>
      <c r="G996" s="4" t="s">
        <v>17</v>
      </c>
      <c r="H996" s="4" t="s">
        <v>11</v>
      </c>
    </row>
    <row r="997" spans="1:8" x14ac:dyDescent="0.2">
      <c r="A997" s="4" t="str">
        <f>"12.110/001/2025"</f>
        <v>12.110/001/2025</v>
      </c>
      <c r="B997" s="4" t="str">
        <f>"Wieso? Weshalb? Warum? - Wissensmanagement praktisch umsetzen"</f>
        <v>Wieso? Weshalb? Warum? - Wissensmanagement praktisch umsetzen</v>
      </c>
      <c r="C997" s="5">
        <v>45834</v>
      </c>
      <c r="D997" s="5">
        <v>45902</v>
      </c>
      <c r="E997" s="4" t="str">
        <f>"2x2 Tage"</f>
        <v>2x2 Tage</v>
      </c>
      <c r="F997" s="17">
        <v>990</v>
      </c>
      <c r="G997" s="4"/>
      <c r="H997" s="4" t="s">
        <v>11</v>
      </c>
    </row>
    <row r="998" spans="1:8" x14ac:dyDescent="0.2">
      <c r="A998" s="4" t="str">
        <f>"12.110/001 a/2025"</f>
        <v>12.110/001 a/2025</v>
      </c>
      <c r="B998" s="4" t="str">
        <f>"Wieso? Weshalb? Warum? - Wissensmanagement praktisch umsetzen"</f>
        <v>Wieso? Weshalb? Warum? - Wissensmanagement praktisch umsetzen</v>
      </c>
      <c r="C998" s="5">
        <v>45834</v>
      </c>
      <c r="D998" s="5">
        <v>45835</v>
      </c>
      <c r="E998" s="4"/>
      <c r="F998" s="17"/>
      <c r="G998" s="4" t="s">
        <v>17</v>
      </c>
      <c r="H998" s="4" t="s">
        <v>11</v>
      </c>
    </row>
    <row r="999" spans="1:8" x14ac:dyDescent="0.2">
      <c r="A999" s="4" t="str">
        <f>"12.110/001 b/2025"</f>
        <v>12.110/001 b/2025</v>
      </c>
      <c r="B999" s="4" t="str">
        <f>"Wieso? Weshalb? Warum? - Wissensmanagement praktisch umsetzen"</f>
        <v>Wieso? Weshalb? Warum? - Wissensmanagement praktisch umsetzen</v>
      </c>
      <c r="C999" s="5">
        <v>45901</v>
      </c>
      <c r="D999" s="5">
        <v>45902</v>
      </c>
      <c r="E999" s="4"/>
      <c r="F999" s="17"/>
      <c r="G999" s="4" t="s">
        <v>17</v>
      </c>
      <c r="H999" s="4" t="s">
        <v>11</v>
      </c>
    </row>
    <row r="1000" spans="1:8" x14ac:dyDescent="0.2">
      <c r="A1000" s="4" t="str">
        <f>"12.120/001/2025"</f>
        <v>12.120/001/2025</v>
      </c>
      <c r="B1000" s="4" t="str">
        <f>"Selbstmotiviert lernen - der Schlüssel zum individuellen Wissensmanagement"</f>
        <v>Selbstmotiviert lernen - der Schlüssel zum individuellen Wissensmanagement</v>
      </c>
      <c r="C1000" s="5">
        <v>45763</v>
      </c>
      <c r="D1000" s="5">
        <v>45764</v>
      </c>
      <c r="E1000" s="4" t="str">
        <f>"2 Tage"</f>
        <v>2 Tage</v>
      </c>
      <c r="F1000" s="17">
        <v>490</v>
      </c>
      <c r="G1000" s="4" t="s">
        <v>17</v>
      </c>
      <c r="H1000" s="4" t="s">
        <v>11</v>
      </c>
    </row>
    <row r="1001" spans="1:8" x14ac:dyDescent="0.2">
      <c r="A1001" s="4" t="str">
        <f>"12.240/001/2025"</f>
        <v>12.240/001/2025</v>
      </c>
      <c r="B1001" s="4" t="str">
        <f>"Impro für Trainerinnen und Trainer - geschmeidig durchs Seminar mit Methoden aus dem Improvisationstheater"</f>
        <v>Impro für Trainerinnen und Trainer - geschmeidig durchs Seminar mit Methoden aus dem Improvisationstheater</v>
      </c>
      <c r="C1001" s="5">
        <v>45813</v>
      </c>
      <c r="D1001" s="5">
        <v>45814</v>
      </c>
      <c r="E1001" s="4" t="str">
        <f>"2 Tage"</f>
        <v>2 Tage</v>
      </c>
      <c r="F1001" s="17">
        <v>490</v>
      </c>
      <c r="G1001" s="4" t="s">
        <v>17</v>
      </c>
      <c r="H1001" s="4" t="s">
        <v>11</v>
      </c>
    </row>
    <row r="1002" spans="1:8" x14ac:dyDescent="0.2">
      <c r="A1002" s="4" t="str">
        <f>"12.245/001/2025"</f>
        <v>12.245/001/2025</v>
      </c>
      <c r="B1002" s="4" t="str">
        <f>"Werkstatt: Ein Bild sagt mehr... - Visualisierung von Inhalten"</f>
        <v>Werkstatt: Ein Bild sagt mehr... - Visualisierung von Inhalten</v>
      </c>
      <c r="C1002" s="5">
        <v>45698</v>
      </c>
      <c r="D1002" s="5">
        <v>45698</v>
      </c>
      <c r="E1002" s="4" t="str">
        <f>"1 Tag"</f>
        <v>1 Tag</v>
      </c>
      <c r="F1002" s="17">
        <v>220</v>
      </c>
      <c r="G1002" s="4" t="s">
        <v>17</v>
      </c>
      <c r="H1002" s="4" t="s">
        <v>11</v>
      </c>
    </row>
    <row r="1003" spans="1:8" x14ac:dyDescent="0.2">
      <c r="A1003" s="4" t="str">
        <f>"12.310/001/2025"</f>
        <v>12.310/001/2025</v>
      </c>
      <c r="B1003" s="4" t="str">
        <f>"Tools2go Videoproduktion mit dem Smartphone"</f>
        <v>Tools2go Videoproduktion mit dem Smartphone</v>
      </c>
      <c r="C1003" s="5">
        <v>45705</v>
      </c>
      <c r="D1003" s="5">
        <v>45705</v>
      </c>
      <c r="E1003" s="4" t="str">
        <f>"1 Tag"</f>
        <v>1 Tag</v>
      </c>
      <c r="F1003" s="17">
        <v>420</v>
      </c>
      <c r="G1003" s="4" t="s">
        <v>17</v>
      </c>
      <c r="H1003" s="4" t="s">
        <v>11</v>
      </c>
    </row>
    <row r="1004" spans="1:8" x14ac:dyDescent="0.2">
      <c r="A1004" s="4" t="str">
        <f>"21.110/001/2025"</f>
        <v>21.110/001/2025</v>
      </c>
      <c r="B1004" s="4" t="str">
        <f>"ComIn NRW - Compliance und Integrität in der Landesverwaltung NRW - online"</f>
        <v>ComIn NRW - Compliance und Integrität in der Landesverwaltung NRW - online</v>
      </c>
      <c r="C1004" s="5">
        <v>45684</v>
      </c>
      <c r="D1004" s="5">
        <v>45685</v>
      </c>
      <c r="E1004" s="4" t="str">
        <f>"2 Tage"</f>
        <v>2 Tage</v>
      </c>
      <c r="F1004" s="17">
        <v>440</v>
      </c>
      <c r="G1004" s="4" t="s">
        <v>18</v>
      </c>
      <c r="H1004" s="4" t="s">
        <v>11</v>
      </c>
    </row>
    <row r="1005" spans="1:8" x14ac:dyDescent="0.2">
      <c r="A1005" s="4" t="str">
        <f>"21.110/002/2025"</f>
        <v>21.110/002/2025</v>
      </c>
      <c r="B1005" s="4" t="str">
        <f>"ComIn NRW - Compliance und Integrität in der Landesverwaltung NRW - online"</f>
        <v>ComIn NRW - Compliance und Integrität in der Landesverwaltung NRW - online</v>
      </c>
      <c r="C1005" s="5">
        <v>45792</v>
      </c>
      <c r="D1005" s="5">
        <v>45793</v>
      </c>
      <c r="E1005" s="4" t="str">
        <f>"2 Tage"</f>
        <v>2 Tage</v>
      </c>
      <c r="F1005" s="17">
        <v>440</v>
      </c>
      <c r="G1005" s="4" t="s">
        <v>18</v>
      </c>
      <c r="H1005" s="4" t="s">
        <v>11</v>
      </c>
    </row>
    <row r="1006" spans="1:8" x14ac:dyDescent="0.2">
      <c r="A1006" s="4" t="str">
        <f>"21.110/003/2025"</f>
        <v>21.110/003/2025</v>
      </c>
      <c r="B1006" s="4" t="str">
        <f>"ComIn NRW - Compliance und Integrität in der Landesverwaltung NRW - online"</f>
        <v>ComIn NRW - Compliance und Integrität in der Landesverwaltung NRW - online</v>
      </c>
      <c r="C1006" s="5">
        <v>45901</v>
      </c>
      <c r="D1006" s="5">
        <v>45902</v>
      </c>
      <c r="E1006" s="4" t="str">
        <f>"2 Tage"</f>
        <v>2 Tage</v>
      </c>
      <c r="F1006" s="17">
        <v>440</v>
      </c>
      <c r="G1006" s="4" t="s">
        <v>18</v>
      </c>
      <c r="H1006" s="4" t="s">
        <v>11</v>
      </c>
    </row>
    <row r="1007" spans="1:8" x14ac:dyDescent="0.2">
      <c r="A1007" s="4" t="str">
        <f>"21.114/001/2025"</f>
        <v>21.114/001/2025</v>
      </c>
      <c r="B1007" s="4" t="str">
        <f t="shared" ref="B1007:B1018" si="40">"Führung I - Kommunikation und Führung - online"</f>
        <v>Führung I - Kommunikation und Führung - online</v>
      </c>
      <c r="C1007" s="5">
        <v>45677</v>
      </c>
      <c r="D1007" s="5">
        <v>45737</v>
      </c>
      <c r="E1007" s="4" t="str">
        <f>"3x3 Tage"</f>
        <v>3x3 Tage</v>
      </c>
      <c r="F1007" s="17">
        <v>1130</v>
      </c>
      <c r="G1007" s="4"/>
      <c r="H1007" s="4" t="s">
        <v>11</v>
      </c>
    </row>
    <row r="1008" spans="1:8" x14ac:dyDescent="0.2">
      <c r="A1008" s="4" t="str">
        <f>"21.114/001 a/2025"</f>
        <v>21.114/001 a/2025</v>
      </c>
      <c r="B1008" s="4" t="str">
        <f t="shared" si="40"/>
        <v>Führung I - Kommunikation und Führung - online</v>
      </c>
      <c r="C1008" s="5">
        <v>45677</v>
      </c>
      <c r="D1008" s="5">
        <v>45679</v>
      </c>
      <c r="E1008" s="4"/>
      <c r="F1008" s="17"/>
      <c r="G1008" s="4" t="s">
        <v>18</v>
      </c>
      <c r="H1008" s="4" t="s">
        <v>11</v>
      </c>
    </row>
    <row r="1009" spans="1:8" x14ac:dyDescent="0.2">
      <c r="A1009" s="4" t="str">
        <f>"21.114/001 b/2025"</f>
        <v>21.114/001 b/2025</v>
      </c>
      <c r="B1009" s="4" t="str">
        <f t="shared" si="40"/>
        <v>Führung I - Kommunikation und Führung - online</v>
      </c>
      <c r="C1009" s="5">
        <v>45712</v>
      </c>
      <c r="D1009" s="5">
        <v>45714</v>
      </c>
      <c r="E1009" s="4"/>
      <c r="F1009" s="17"/>
      <c r="G1009" s="4" t="s">
        <v>18</v>
      </c>
      <c r="H1009" s="4" t="s">
        <v>11</v>
      </c>
    </row>
    <row r="1010" spans="1:8" x14ac:dyDescent="0.2">
      <c r="A1010" s="4" t="str">
        <f>"21.114/001 c/2025"</f>
        <v>21.114/001 c/2025</v>
      </c>
      <c r="B1010" s="4" t="str">
        <f t="shared" si="40"/>
        <v>Führung I - Kommunikation und Führung - online</v>
      </c>
      <c r="C1010" s="5">
        <v>45735</v>
      </c>
      <c r="D1010" s="5">
        <v>45737</v>
      </c>
      <c r="E1010" s="4"/>
      <c r="F1010" s="17"/>
      <c r="G1010" s="4" t="s">
        <v>18</v>
      </c>
      <c r="H1010" s="4" t="s">
        <v>11</v>
      </c>
    </row>
    <row r="1011" spans="1:8" x14ac:dyDescent="0.2">
      <c r="A1011" s="4" t="str">
        <f>"21.114/002/2025"</f>
        <v>21.114/002/2025</v>
      </c>
      <c r="B1011" s="4" t="str">
        <f t="shared" si="40"/>
        <v>Führung I - Kommunikation und Führung - online</v>
      </c>
      <c r="C1011" s="5">
        <v>45819</v>
      </c>
      <c r="D1011" s="5">
        <v>45919</v>
      </c>
      <c r="E1011" s="4" t="str">
        <f>"3x3 Tage"</f>
        <v>3x3 Tage</v>
      </c>
      <c r="F1011" s="17">
        <v>1130</v>
      </c>
      <c r="G1011" s="4"/>
      <c r="H1011" s="4" t="s">
        <v>11</v>
      </c>
    </row>
    <row r="1012" spans="1:8" x14ac:dyDescent="0.2">
      <c r="A1012" s="4" t="str">
        <f>"21.114/002 a/2025"</f>
        <v>21.114/002 a/2025</v>
      </c>
      <c r="B1012" s="4" t="str">
        <f t="shared" si="40"/>
        <v>Führung I - Kommunikation und Führung - online</v>
      </c>
      <c r="C1012" s="5">
        <v>45819</v>
      </c>
      <c r="D1012" s="5">
        <v>45821</v>
      </c>
      <c r="E1012" s="4"/>
      <c r="F1012" s="17"/>
      <c r="G1012" s="4" t="s">
        <v>18</v>
      </c>
      <c r="H1012" s="4" t="s">
        <v>11</v>
      </c>
    </row>
    <row r="1013" spans="1:8" x14ac:dyDescent="0.2">
      <c r="A1013" s="4" t="str">
        <f>"21.114/002 b/2025"</f>
        <v>21.114/002 b/2025</v>
      </c>
      <c r="B1013" s="4" t="str">
        <f t="shared" si="40"/>
        <v>Führung I - Kommunikation und Führung - online</v>
      </c>
      <c r="C1013" s="5">
        <v>45896</v>
      </c>
      <c r="D1013" s="5">
        <v>45898</v>
      </c>
      <c r="E1013" s="4"/>
      <c r="F1013" s="17"/>
      <c r="G1013" s="4" t="s">
        <v>18</v>
      </c>
      <c r="H1013" s="4" t="s">
        <v>11</v>
      </c>
    </row>
    <row r="1014" spans="1:8" x14ac:dyDescent="0.2">
      <c r="A1014" s="4" t="str">
        <f>"21.114/002 c/2025"</f>
        <v>21.114/002 c/2025</v>
      </c>
      <c r="B1014" s="4" t="str">
        <f t="shared" si="40"/>
        <v>Führung I - Kommunikation und Führung - online</v>
      </c>
      <c r="C1014" s="5">
        <v>45917</v>
      </c>
      <c r="D1014" s="5">
        <v>45919</v>
      </c>
      <c r="E1014" s="4"/>
      <c r="F1014" s="17"/>
      <c r="G1014" s="4" t="s">
        <v>18</v>
      </c>
      <c r="H1014" s="4" t="s">
        <v>11</v>
      </c>
    </row>
    <row r="1015" spans="1:8" x14ac:dyDescent="0.2">
      <c r="A1015" s="4" t="str">
        <f>"21.114/003/2025"</f>
        <v>21.114/003/2025</v>
      </c>
      <c r="B1015" s="4" t="str">
        <f t="shared" si="40"/>
        <v>Führung I - Kommunikation und Führung - online</v>
      </c>
      <c r="C1015" s="5">
        <v>45936</v>
      </c>
      <c r="D1015" s="5">
        <v>46001</v>
      </c>
      <c r="E1015" s="4" t="str">
        <f>"3x3 Tage"</f>
        <v>3x3 Tage</v>
      </c>
      <c r="F1015" s="17">
        <v>1130</v>
      </c>
      <c r="G1015" s="4"/>
      <c r="H1015" s="4" t="s">
        <v>11</v>
      </c>
    </row>
    <row r="1016" spans="1:8" x14ac:dyDescent="0.2">
      <c r="A1016" s="4" t="str">
        <f>"21.114/003 a/2025"</f>
        <v>21.114/003 a/2025</v>
      </c>
      <c r="B1016" s="4" t="str">
        <f t="shared" si="40"/>
        <v>Führung I - Kommunikation und Führung - online</v>
      </c>
      <c r="C1016" s="5">
        <v>45936</v>
      </c>
      <c r="D1016" s="5">
        <v>45938</v>
      </c>
      <c r="E1016" s="4"/>
      <c r="F1016" s="17"/>
      <c r="G1016" s="4" t="s">
        <v>18</v>
      </c>
      <c r="H1016" s="4" t="s">
        <v>11</v>
      </c>
    </row>
    <row r="1017" spans="1:8" x14ac:dyDescent="0.2">
      <c r="A1017" s="4" t="str">
        <f>"21.114/003 b/2025"</f>
        <v>21.114/003 b/2025</v>
      </c>
      <c r="B1017" s="4" t="str">
        <f t="shared" si="40"/>
        <v>Führung I - Kommunikation und Führung - online</v>
      </c>
      <c r="C1017" s="5">
        <v>45966</v>
      </c>
      <c r="D1017" s="5">
        <v>45968</v>
      </c>
      <c r="E1017" s="4"/>
      <c r="F1017" s="17"/>
      <c r="G1017" s="4" t="s">
        <v>18</v>
      </c>
      <c r="H1017" s="4" t="s">
        <v>11</v>
      </c>
    </row>
    <row r="1018" spans="1:8" x14ac:dyDescent="0.2">
      <c r="A1018" s="4" t="str">
        <f>"21.114/003 c/2025"</f>
        <v>21.114/003 c/2025</v>
      </c>
      <c r="B1018" s="4" t="str">
        <f t="shared" si="40"/>
        <v>Führung I - Kommunikation und Führung - online</v>
      </c>
      <c r="C1018" s="5">
        <v>45999</v>
      </c>
      <c r="D1018" s="5">
        <v>46001</v>
      </c>
      <c r="E1018" s="4"/>
      <c r="F1018" s="17"/>
      <c r="G1018" s="4" t="s">
        <v>18</v>
      </c>
      <c r="H1018" s="4" t="s">
        <v>11</v>
      </c>
    </row>
    <row r="1019" spans="1:8" x14ac:dyDescent="0.2">
      <c r="A1019" s="4" t="str">
        <f>"21.120/001/2025"</f>
        <v>21.120/001/2025</v>
      </c>
      <c r="B1019" s="4" t="str">
        <f>"Führung II - Führung in der Hierarchie - online"</f>
        <v>Führung II - Führung in der Hierarchie - online</v>
      </c>
      <c r="C1019" s="5">
        <v>45803</v>
      </c>
      <c r="D1019" s="5">
        <v>45826</v>
      </c>
      <c r="E1019" s="4" t="str">
        <f>"2x3 Tage"</f>
        <v>2x3 Tage</v>
      </c>
      <c r="F1019" s="17">
        <v>980</v>
      </c>
      <c r="G1019" s="4"/>
      <c r="H1019" s="4" t="s">
        <v>11</v>
      </c>
    </row>
    <row r="1020" spans="1:8" x14ac:dyDescent="0.2">
      <c r="A1020" s="4" t="str">
        <f>"21.120/001 a/2025"</f>
        <v>21.120/001 a/2025</v>
      </c>
      <c r="B1020" s="4" t="str">
        <f>"Führung II - Führung in der Hierarchie - online"</f>
        <v>Führung II - Führung in der Hierarchie - online</v>
      </c>
      <c r="C1020" s="5">
        <v>45803</v>
      </c>
      <c r="D1020" s="5">
        <v>45805</v>
      </c>
      <c r="E1020" s="4"/>
      <c r="F1020" s="17"/>
      <c r="G1020" s="4" t="s">
        <v>18</v>
      </c>
      <c r="H1020" s="4" t="s">
        <v>11</v>
      </c>
    </row>
    <row r="1021" spans="1:8" x14ac:dyDescent="0.2">
      <c r="A1021" s="4" t="str">
        <f>"21.120/001 b/2025"</f>
        <v>21.120/001 b/2025</v>
      </c>
      <c r="B1021" s="4" t="str">
        <f>"Führung II - Führung in der Hierarchie - online"</f>
        <v>Führung II - Führung in der Hierarchie - online</v>
      </c>
      <c r="C1021" s="5">
        <v>45824</v>
      </c>
      <c r="D1021" s="5">
        <v>45826</v>
      </c>
      <c r="E1021" s="4"/>
      <c r="F1021" s="17"/>
      <c r="G1021" s="4" t="s">
        <v>18</v>
      </c>
      <c r="H1021" s="4" t="s">
        <v>11</v>
      </c>
    </row>
    <row r="1022" spans="1:8" x14ac:dyDescent="0.2">
      <c r="A1022" s="4" t="str">
        <f>"21.121/001/2025"</f>
        <v>21.121/001/2025</v>
      </c>
      <c r="B1022" s="4" t="str">
        <f>"Führung II - Laterale Führung - online"</f>
        <v>Führung II - Laterale Führung - online</v>
      </c>
      <c r="C1022" s="5">
        <v>45782</v>
      </c>
      <c r="D1022" s="5">
        <v>45805</v>
      </c>
      <c r="E1022" s="4" t="str">
        <f>"2x3 Tage"</f>
        <v>2x3 Tage</v>
      </c>
      <c r="F1022" s="17">
        <v>980</v>
      </c>
      <c r="G1022" s="4"/>
      <c r="H1022" s="4" t="s">
        <v>11</v>
      </c>
    </row>
    <row r="1023" spans="1:8" x14ac:dyDescent="0.2">
      <c r="A1023" s="4" t="str">
        <f>"21.121/001 a/2025"</f>
        <v>21.121/001 a/2025</v>
      </c>
      <c r="B1023" s="4" t="str">
        <f>"Führung II - Laterale Führung - online"</f>
        <v>Führung II - Laterale Führung - online</v>
      </c>
      <c r="C1023" s="5">
        <v>45782</v>
      </c>
      <c r="D1023" s="5">
        <v>45784</v>
      </c>
      <c r="E1023" s="4"/>
      <c r="F1023" s="17"/>
      <c r="G1023" s="4" t="s">
        <v>18</v>
      </c>
      <c r="H1023" s="4" t="s">
        <v>11</v>
      </c>
    </row>
    <row r="1024" spans="1:8" x14ac:dyDescent="0.2">
      <c r="A1024" s="4" t="str">
        <f>"21.121/001 b/2025"</f>
        <v>21.121/001 b/2025</v>
      </c>
      <c r="B1024" s="4" t="str">
        <f>"Führung II - Laterale Führung - online"</f>
        <v>Führung II - Laterale Führung - online</v>
      </c>
      <c r="C1024" s="5">
        <v>45803</v>
      </c>
      <c r="D1024" s="5">
        <v>45805</v>
      </c>
      <c r="E1024" s="4"/>
      <c r="F1024" s="17"/>
      <c r="G1024" s="4" t="s">
        <v>18</v>
      </c>
      <c r="H1024" s="4" t="s">
        <v>11</v>
      </c>
    </row>
    <row r="1025" spans="1:8" x14ac:dyDescent="0.2">
      <c r="A1025" s="4" t="str">
        <f>"21.124/001/2025"</f>
        <v>21.124/001/2025</v>
      </c>
      <c r="B1025" s="4" t="str">
        <f>"Führung III - Führung und Zusammenarbeit - online"</f>
        <v>Führung III - Führung und Zusammenarbeit - online</v>
      </c>
      <c r="C1025" s="5">
        <v>45782</v>
      </c>
      <c r="D1025" s="5">
        <v>45812</v>
      </c>
      <c r="E1025" s="4" t="str">
        <f>"2x3 Tage"</f>
        <v>2x3 Tage</v>
      </c>
      <c r="F1025" s="17">
        <v>980</v>
      </c>
      <c r="G1025" s="4"/>
      <c r="H1025" s="4" t="s">
        <v>11</v>
      </c>
    </row>
    <row r="1026" spans="1:8" x14ac:dyDescent="0.2">
      <c r="A1026" s="4" t="str">
        <f>"21.124/001 a/2025"</f>
        <v>21.124/001 a/2025</v>
      </c>
      <c r="B1026" s="4" t="str">
        <f>"Führung III - Führung und Zusammenarbeit - online"</f>
        <v>Führung III - Führung und Zusammenarbeit - online</v>
      </c>
      <c r="C1026" s="5">
        <v>45782</v>
      </c>
      <c r="D1026" s="5">
        <v>45784</v>
      </c>
      <c r="E1026" s="4"/>
      <c r="F1026" s="17"/>
      <c r="G1026" s="4" t="s">
        <v>18</v>
      </c>
      <c r="H1026" s="4" t="s">
        <v>11</v>
      </c>
    </row>
    <row r="1027" spans="1:8" x14ac:dyDescent="0.2">
      <c r="A1027" s="4" t="str">
        <f>"21.124/001 b/2025"</f>
        <v>21.124/001 b/2025</v>
      </c>
      <c r="B1027" s="4" t="str">
        <f>"Führung III - Führung und Zusammenarbeit - online"</f>
        <v>Führung III - Führung und Zusammenarbeit - online</v>
      </c>
      <c r="C1027" s="5">
        <v>45810</v>
      </c>
      <c r="D1027" s="5">
        <v>45812</v>
      </c>
      <c r="E1027" s="4"/>
      <c r="F1027" s="17"/>
      <c r="G1027" s="4" t="s">
        <v>18</v>
      </c>
      <c r="H1027" s="4" t="s">
        <v>11</v>
      </c>
    </row>
    <row r="1028" spans="1:8" x14ac:dyDescent="0.2">
      <c r="A1028" s="4" t="str">
        <f>"21.215/001/2025"</f>
        <v>21.215/001/2025</v>
      </c>
      <c r="B1028" s="4" t="str">
        <f>"Führen über räumliche Distanz für Führungskräfte der LG 2.2 - Online"</f>
        <v>Führen über räumliche Distanz für Führungskräfte der LG 2.2 - Online</v>
      </c>
      <c r="C1028" s="5">
        <v>45708</v>
      </c>
      <c r="D1028" s="5">
        <v>45709</v>
      </c>
      <c r="E1028" s="4" t="str">
        <f>"2 Tage "</f>
        <v xml:space="preserve">2 Tage </v>
      </c>
      <c r="F1028" s="17">
        <v>330</v>
      </c>
      <c r="G1028" s="4" t="s">
        <v>18</v>
      </c>
      <c r="H1028" s="4" t="s">
        <v>11</v>
      </c>
    </row>
    <row r="1029" spans="1:8" x14ac:dyDescent="0.2">
      <c r="A1029" s="4" t="str">
        <f>"21.215/002/2025"</f>
        <v>21.215/002/2025</v>
      </c>
      <c r="B1029" s="4" t="str">
        <f>"Führen über räumliche Distanz für Führungskräfte der LG 2.2 - Online"</f>
        <v>Führen über räumliche Distanz für Führungskräfte der LG 2.2 - Online</v>
      </c>
      <c r="C1029" s="5">
        <v>45909</v>
      </c>
      <c r="D1029" s="5">
        <v>45910</v>
      </c>
      <c r="E1029" s="4" t="str">
        <f>"2 Tage "</f>
        <v xml:space="preserve">2 Tage </v>
      </c>
      <c r="F1029" s="17">
        <v>330</v>
      </c>
      <c r="G1029" s="4" t="s">
        <v>18</v>
      </c>
      <c r="H1029" s="4" t="s">
        <v>11</v>
      </c>
    </row>
    <row r="1030" spans="1:8" x14ac:dyDescent="0.2">
      <c r="A1030" s="4" t="str">
        <f>"21.415/001/2025"</f>
        <v>21.415/001/2025</v>
      </c>
      <c r="B1030" s="4" t="str">
        <f>"Führen in der neuen Arbeitswelt - online"</f>
        <v>Führen in der neuen Arbeitswelt - online</v>
      </c>
      <c r="C1030" s="5">
        <v>45930</v>
      </c>
      <c r="D1030" s="5">
        <v>45931</v>
      </c>
      <c r="E1030" s="4" t="str">
        <f>"2 Tage"</f>
        <v>2 Tage</v>
      </c>
      <c r="F1030" s="17">
        <v>330</v>
      </c>
      <c r="G1030" s="4" t="s">
        <v>18</v>
      </c>
      <c r="H1030" s="4" t="s">
        <v>11</v>
      </c>
    </row>
    <row r="1031" spans="1:8" x14ac:dyDescent="0.2">
      <c r="A1031" s="4" t="str">
        <f>"21.445/001/2025"</f>
        <v>21.445/001/2025</v>
      </c>
      <c r="B1031" s="4" t="str">
        <f>"Führen in der Sandwichposition - online"</f>
        <v>Führen in der Sandwichposition - online</v>
      </c>
      <c r="C1031" s="5">
        <v>45959</v>
      </c>
      <c r="D1031" s="5">
        <v>45960</v>
      </c>
      <c r="E1031" s="4" t="str">
        <f>"3 Tage"</f>
        <v>3 Tage</v>
      </c>
      <c r="F1031" s="17">
        <v>490</v>
      </c>
      <c r="G1031" s="4" t="s">
        <v>18</v>
      </c>
      <c r="H1031" s="4" t="s">
        <v>11</v>
      </c>
    </row>
    <row r="1032" spans="1:8" x14ac:dyDescent="0.2">
      <c r="A1032" s="4" t="str">
        <f>"22.138/001/2025"</f>
        <v>22.138/001/2025</v>
      </c>
      <c r="B1032" s="4" t="str">
        <f>"Vereinbarkeit von Beruf und Pflege in der Verwaltung - online"</f>
        <v>Vereinbarkeit von Beruf und Pflege in der Verwaltung - online</v>
      </c>
      <c r="C1032" s="5">
        <v>45698</v>
      </c>
      <c r="D1032" s="5">
        <v>45699</v>
      </c>
      <c r="E1032" s="4" t="str">
        <f t="shared" ref="E1032:E1040" si="41">"2 Tage"</f>
        <v>2 Tage</v>
      </c>
      <c r="F1032" s="17">
        <v>330</v>
      </c>
      <c r="G1032" s="4" t="s">
        <v>18</v>
      </c>
      <c r="H1032" s="4" t="s">
        <v>11</v>
      </c>
    </row>
    <row r="1033" spans="1:8" x14ac:dyDescent="0.2">
      <c r="A1033" s="4" t="str">
        <f>"22.236/001/2025"</f>
        <v>22.236/001/2025</v>
      </c>
      <c r="B1033" s="4" t="str">
        <f>"Do Care - Gesund führen - sich und andere(c) - online"</f>
        <v>Do Care - Gesund führen - sich und andere(c) - online</v>
      </c>
      <c r="C1033" s="5">
        <v>45754</v>
      </c>
      <c r="D1033" s="5">
        <v>45755</v>
      </c>
      <c r="E1033" s="4" t="str">
        <f t="shared" si="41"/>
        <v>2 Tage</v>
      </c>
      <c r="F1033" s="17">
        <v>330</v>
      </c>
      <c r="G1033" s="4" t="s">
        <v>18</v>
      </c>
      <c r="H1033" s="4" t="s">
        <v>11</v>
      </c>
    </row>
    <row r="1034" spans="1:8" x14ac:dyDescent="0.2">
      <c r="A1034" s="4" t="str">
        <f>"22.360/001/2025"</f>
        <v>22.360/001/2025</v>
      </c>
      <c r="B1034" s="4" t="str">
        <f>"Aus der Praxis für die Praxis: Gesund und fit bei der Büroarbeit - online"</f>
        <v>Aus der Praxis für die Praxis: Gesund und fit bei der Büroarbeit - online</v>
      </c>
      <c r="C1034" s="5">
        <v>45722</v>
      </c>
      <c r="D1034" s="5">
        <v>45723</v>
      </c>
      <c r="E1034" s="4" t="str">
        <f t="shared" si="41"/>
        <v>2 Tage</v>
      </c>
      <c r="F1034" s="17">
        <v>590</v>
      </c>
      <c r="G1034" s="4" t="s">
        <v>17</v>
      </c>
      <c r="H1034" s="4" t="s">
        <v>11</v>
      </c>
    </row>
    <row r="1035" spans="1:8" x14ac:dyDescent="0.2">
      <c r="A1035" s="4" t="str">
        <f>"22.365/001/2025"</f>
        <v>22.365/001/2025</v>
      </c>
      <c r="B1035" s="4" t="str">
        <f>"Geistige und körperliche Fitness - online"</f>
        <v>Geistige und körperliche Fitness - online</v>
      </c>
      <c r="C1035" s="5">
        <v>45687</v>
      </c>
      <c r="D1035" s="5">
        <v>45688</v>
      </c>
      <c r="E1035" s="4" t="str">
        <f t="shared" si="41"/>
        <v>2 Tage</v>
      </c>
      <c r="F1035" s="17">
        <v>330</v>
      </c>
      <c r="G1035" s="4" t="s">
        <v>17</v>
      </c>
      <c r="H1035" s="4" t="s">
        <v>11</v>
      </c>
    </row>
    <row r="1036" spans="1:8" x14ac:dyDescent="0.2">
      <c r="A1036" s="4" t="str">
        <f>"22.435/001/2025"</f>
        <v>22.435/001/2025</v>
      </c>
      <c r="B1036" s="4" t="str">
        <f>"Resilienz - kontinuierlich und nachhaltig an der eigenen inneren Stärke arbeiten - online"</f>
        <v>Resilienz - kontinuierlich und nachhaltig an der eigenen inneren Stärke arbeiten - online</v>
      </c>
      <c r="C1036" s="5">
        <v>45665</v>
      </c>
      <c r="D1036" s="5">
        <v>45666</v>
      </c>
      <c r="E1036" s="4" t="str">
        <f t="shared" si="41"/>
        <v>2 Tage</v>
      </c>
      <c r="F1036" s="17">
        <v>330</v>
      </c>
      <c r="G1036" s="4" t="s">
        <v>17</v>
      </c>
      <c r="H1036" s="4" t="s">
        <v>11</v>
      </c>
    </row>
    <row r="1037" spans="1:8" x14ac:dyDescent="0.2">
      <c r="A1037" s="4" t="str">
        <f>"22.460/001/2025"</f>
        <v>22.460/001/2025</v>
      </c>
      <c r="B1037" s="4" t="str">
        <f>"Löwenstark - resilient durch turbulente Zeiten - online"</f>
        <v>Löwenstark - resilient durch turbulente Zeiten - online</v>
      </c>
      <c r="C1037" s="5">
        <v>45721</v>
      </c>
      <c r="D1037" s="5">
        <v>45722</v>
      </c>
      <c r="E1037" s="4" t="str">
        <f t="shared" si="41"/>
        <v>2 Tage</v>
      </c>
      <c r="F1037" s="17">
        <v>330</v>
      </c>
      <c r="G1037" s="4" t="s">
        <v>17</v>
      </c>
      <c r="H1037" s="4" t="s">
        <v>11</v>
      </c>
    </row>
    <row r="1038" spans="1:8" x14ac:dyDescent="0.2">
      <c r="A1038" s="4" t="str">
        <f>"22.460/002/2025"</f>
        <v>22.460/002/2025</v>
      </c>
      <c r="B1038" s="4" t="str">
        <f>"Löwenstark - resilient durch turbulente Zeiten - online"</f>
        <v>Löwenstark - resilient durch turbulente Zeiten - online</v>
      </c>
      <c r="C1038" s="5">
        <v>45971</v>
      </c>
      <c r="D1038" s="5">
        <v>45972</v>
      </c>
      <c r="E1038" s="4" t="str">
        <f t="shared" si="41"/>
        <v>2 Tage</v>
      </c>
      <c r="F1038" s="17">
        <v>330</v>
      </c>
      <c r="G1038" s="4" t="s">
        <v>17</v>
      </c>
      <c r="H1038" s="4" t="s">
        <v>11</v>
      </c>
    </row>
    <row r="1039" spans="1:8" x14ac:dyDescent="0.2">
      <c r="A1039" s="4" t="str">
        <f>"22.470/001/2025"</f>
        <v>22.470/001/2025</v>
      </c>
      <c r="B1039" s="4" t="str">
        <f>"Die Macht der Verantwortung - wie man Kontrolle über sein Leben zurückgewinnt und behält - online"</f>
        <v>Die Macht der Verantwortung - wie man Kontrolle über sein Leben zurückgewinnt und behält - online</v>
      </c>
      <c r="C1039" s="5">
        <v>45957</v>
      </c>
      <c r="D1039" s="5">
        <v>45958</v>
      </c>
      <c r="E1039" s="4" t="str">
        <f t="shared" si="41"/>
        <v>2 Tage</v>
      </c>
      <c r="F1039" s="17">
        <v>260</v>
      </c>
      <c r="G1039" s="4" t="s">
        <v>17</v>
      </c>
      <c r="H1039" s="4" t="s">
        <v>11</v>
      </c>
    </row>
    <row r="1040" spans="1:8" x14ac:dyDescent="0.2">
      <c r="A1040" s="4" t="str">
        <f>"22.612/001/2025"</f>
        <v>22.612/001/2025</v>
      </c>
      <c r="B1040" s="4" t="str">
        <f>"Gelassen im Beruf durch Gelassenheit in der Familie - innerfamiliäre Kommunikation und die Auswirkungen auf den beruflichen Alltag - online"</f>
        <v>Gelassen im Beruf durch Gelassenheit in der Familie - innerfamiliäre Kommunikation und die Auswirkungen auf den beruflichen Alltag - online</v>
      </c>
      <c r="C1040" s="5">
        <v>45670</v>
      </c>
      <c r="D1040" s="5">
        <v>45671</v>
      </c>
      <c r="E1040" s="4" t="str">
        <f t="shared" si="41"/>
        <v>2 Tage</v>
      </c>
      <c r="F1040" s="17">
        <v>410</v>
      </c>
      <c r="G1040" s="4" t="s">
        <v>17</v>
      </c>
      <c r="H1040" s="4" t="s">
        <v>11</v>
      </c>
    </row>
    <row r="1041" spans="1:8" x14ac:dyDescent="0.2">
      <c r="A1041" s="4" t="str">
        <f>"22.910/001/2025"</f>
        <v>22.910/001/2025</v>
      </c>
      <c r="B1041" s="4" t="str">
        <f>"Neue Arbeitsformen - wie mobile Arbeit gesundheitsförderlich gelingt - online"</f>
        <v>Neue Arbeitsformen - wie mobile Arbeit gesundheitsförderlich gelingt - online</v>
      </c>
      <c r="C1041" s="5">
        <v>45967</v>
      </c>
      <c r="D1041" s="5">
        <v>45967</v>
      </c>
      <c r="E1041" s="4" t="str">
        <f t="shared" ref="E1041:E1048" si="42">"2 Stunden"</f>
        <v>2 Stunden</v>
      </c>
      <c r="F1041" s="17">
        <v>80</v>
      </c>
      <c r="G1041" s="4" t="s">
        <v>17</v>
      </c>
      <c r="H1041" s="4" t="s">
        <v>11</v>
      </c>
    </row>
    <row r="1042" spans="1:8" x14ac:dyDescent="0.2">
      <c r="A1042" s="4" t="str">
        <f>"22.911/001/2025"</f>
        <v>22.911/001/2025</v>
      </c>
      <c r="B1042" s="4" t="str">
        <f>"Präsentismus - Hintergründe und mögliche Lösungsansätze - online"</f>
        <v>Präsentismus - Hintergründe und mögliche Lösungsansätze - online</v>
      </c>
      <c r="C1042" s="5">
        <v>45737</v>
      </c>
      <c r="D1042" s="5">
        <v>45737</v>
      </c>
      <c r="E1042" s="4" t="str">
        <f t="shared" si="42"/>
        <v>2 Stunden</v>
      </c>
      <c r="F1042" s="17">
        <v>80</v>
      </c>
      <c r="G1042" s="4" t="s">
        <v>17</v>
      </c>
      <c r="H1042" s="4" t="s">
        <v>11</v>
      </c>
    </row>
    <row r="1043" spans="1:8" x14ac:dyDescent="0.2">
      <c r="A1043" s="4" t="str">
        <f>"22.912/001/2025"</f>
        <v>22.912/001/2025</v>
      </c>
      <c r="B1043" s="4" t="str">
        <f>"Sucht am Arbeitsplatz - die unterschätzte Gefahr? - online"</f>
        <v>Sucht am Arbeitsplatz - die unterschätzte Gefahr? - online</v>
      </c>
      <c r="C1043" s="5">
        <v>45673</v>
      </c>
      <c r="D1043" s="5">
        <v>45673</v>
      </c>
      <c r="E1043" s="4" t="str">
        <f t="shared" si="42"/>
        <v>2 Stunden</v>
      </c>
      <c r="F1043" s="17">
        <v>80</v>
      </c>
      <c r="G1043" s="4" t="s">
        <v>17</v>
      </c>
      <c r="H1043" s="4" t="s">
        <v>11</v>
      </c>
    </row>
    <row r="1044" spans="1:8" x14ac:dyDescent="0.2">
      <c r="A1044" s="4" t="str">
        <f>"22.913/001/2025"</f>
        <v>22.913/001/2025</v>
      </c>
      <c r="B1044" s="4" t="str">
        <f>"Mimikresonanz und Gesundheit - online"</f>
        <v>Mimikresonanz und Gesundheit - online</v>
      </c>
      <c r="C1044" s="5">
        <v>45898</v>
      </c>
      <c r="D1044" s="5">
        <v>45898</v>
      </c>
      <c r="E1044" s="4" t="str">
        <f t="shared" si="42"/>
        <v>2 Stunden</v>
      </c>
      <c r="F1044" s="17">
        <v>80</v>
      </c>
      <c r="G1044" s="4" t="s">
        <v>17</v>
      </c>
      <c r="H1044" s="4" t="s">
        <v>11</v>
      </c>
    </row>
    <row r="1045" spans="1:8" x14ac:dyDescent="0.2">
      <c r="A1045" s="4" t="str">
        <f>"22.914/001/2025"</f>
        <v>22.914/001/2025</v>
      </c>
      <c r="B1045" s="4" t="str">
        <f>"Funke, Feuer, Burnout? Burnout - Risiken frühzeitig erkennen - online"</f>
        <v>Funke, Feuer, Burnout? Burnout - Risiken frühzeitig erkennen - online</v>
      </c>
      <c r="C1045" s="5">
        <v>45905</v>
      </c>
      <c r="D1045" s="5">
        <v>45905</v>
      </c>
      <c r="E1045" s="4" t="str">
        <f t="shared" si="42"/>
        <v>2 Stunden</v>
      </c>
      <c r="F1045" s="17">
        <v>80</v>
      </c>
      <c r="G1045" s="4" t="s">
        <v>17</v>
      </c>
      <c r="H1045" s="4" t="s">
        <v>11</v>
      </c>
    </row>
    <row r="1046" spans="1:8" x14ac:dyDescent="0.2">
      <c r="A1046" s="4" t="str">
        <f>"22.915/001/2025"</f>
        <v>22.915/001/2025</v>
      </c>
      <c r="B1046" s="4" t="str">
        <f>"Resilienz kompakt - online"</f>
        <v>Resilienz kompakt - online</v>
      </c>
      <c r="C1046" s="5">
        <v>45989</v>
      </c>
      <c r="D1046" s="5">
        <v>45989</v>
      </c>
      <c r="E1046" s="4" t="str">
        <f t="shared" si="42"/>
        <v>2 Stunden</v>
      </c>
      <c r="F1046" s="17">
        <v>80</v>
      </c>
      <c r="G1046" s="4" t="s">
        <v>17</v>
      </c>
      <c r="H1046" s="4" t="s">
        <v>11</v>
      </c>
    </row>
    <row r="1047" spans="1:8" x14ac:dyDescent="0.2">
      <c r="A1047" s="4" t="str">
        <f>"22.917/001/2025"</f>
        <v>22.917/001/2025</v>
      </c>
      <c r="B1047" s="4" t="str">
        <f>"Der Angst begegnen - in Krisenzeiten Gelassenheit im Beruf und Alltag bewahren - online"</f>
        <v>Der Angst begegnen - in Krisenzeiten Gelassenheit im Beruf und Alltag bewahren - online</v>
      </c>
      <c r="C1047" s="5">
        <v>45681</v>
      </c>
      <c r="D1047" s="5">
        <v>45681</v>
      </c>
      <c r="E1047" s="4" t="str">
        <f t="shared" si="42"/>
        <v>2 Stunden</v>
      </c>
      <c r="F1047" s="17">
        <v>80</v>
      </c>
      <c r="G1047" s="4" t="s">
        <v>17</v>
      </c>
      <c r="H1047" s="4" t="s">
        <v>11</v>
      </c>
    </row>
    <row r="1048" spans="1:8" x14ac:dyDescent="0.2">
      <c r="A1048" s="4" t="str">
        <f>"22.918/001/2025"</f>
        <v>22.918/001/2025</v>
      </c>
      <c r="B1048" s="4" t="str">
        <f>"Burn-on: Immer Vollgas und kurz vor dem ausbrennen - online"</f>
        <v>Burn-on: Immer Vollgas und kurz vor dem ausbrennen - online</v>
      </c>
      <c r="C1048" s="5">
        <v>45929</v>
      </c>
      <c r="D1048" s="5">
        <v>45929</v>
      </c>
      <c r="E1048" s="4" t="str">
        <f t="shared" si="42"/>
        <v>2 Stunden</v>
      </c>
      <c r="F1048" s="17">
        <v>80</v>
      </c>
      <c r="G1048" s="4" t="s">
        <v>17</v>
      </c>
      <c r="H1048" s="4" t="s">
        <v>11</v>
      </c>
    </row>
    <row r="1049" spans="1:8" x14ac:dyDescent="0.2">
      <c r="A1049" s="4" t="str">
        <f>"23.115/001/2025"</f>
        <v>23.115/001/2025</v>
      </c>
      <c r="B1049" s="4" t="str">
        <f>"Grundlagen der Kommunikation im beruflichen Alltag - online"</f>
        <v>Grundlagen der Kommunikation im beruflichen Alltag - online</v>
      </c>
      <c r="C1049" s="5">
        <v>46006</v>
      </c>
      <c r="D1049" s="5">
        <v>46008</v>
      </c>
      <c r="E1049" s="4" t="str">
        <f t="shared" ref="E1049:E1070" si="43">"2 Tage"</f>
        <v>2 Tage</v>
      </c>
      <c r="F1049" s="17">
        <v>330</v>
      </c>
      <c r="G1049" s="4" t="s">
        <v>17</v>
      </c>
      <c r="H1049" s="4" t="s">
        <v>11</v>
      </c>
    </row>
    <row r="1050" spans="1:8" x14ac:dyDescent="0.2">
      <c r="A1050" s="4" t="str">
        <f>"23.120/001/2025"</f>
        <v>23.120/001/2025</v>
      </c>
      <c r="B1050" s="4" t="str">
        <f>"Sicher im Gespräch - Grundlagen der Gesprächsführung - online"</f>
        <v>Sicher im Gespräch - Grundlagen der Gesprächsführung - online</v>
      </c>
      <c r="C1050" s="5">
        <v>45686</v>
      </c>
      <c r="D1050" s="5">
        <v>45687</v>
      </c>
      <c r="E1050" s="4" t="str">
        <f t="shared" si="43"/>
        <v>2 Tage</v>
      </c>
      <c r="F1050" s="17">
        <v>330</v>
      </c>
      <c r="G1050" s="4" t="s">
        <v>17</v>
      </c>
      <c r="H1050" s="4" t="s">
        <v>11</v>
      </c>
    </row>
    <row r="1051" spans="1:8" x14ac:dyDescent="0.2">
      <c r="A1051" s="4" t="str">
        <f>"23.122/001/2025"</f>
        <v>23.122/001/2025</v>
      </c>
      <c r="B1051" s="4" t="str">
        <f>"Sicher im Gespräch - Gesprächsführung in schwierigen Situationen - online"</f>
        <v>Sicher im Gespräch - Gesprächsführung in schwierigen Situationen - online</v>
      </c>
      <c r="C1051" s="5">
        <v>45959</v>
      </c>
      <c r="D1051" s="5">
        <v>45960</v>
      </c>
      <c r="E1051" s="4" t="str">
        <f t="shared" si="43"/>
        <v>2 Tage</v>
      </c>
      <c r="F1051" s="17">
        <v>330</v>
      </c>
      <c r="G1051" s="4" t="s">
        <v>17</v>
      </c>
      <c r="H1051" s="4" t="s">
        <v>11</v>
      </c>
    </row>
    <row r="1052" spans="1:8" x14ac:dyDescent="0.2">
      <c r="A1052" s="4" t="str">
        <f>"23.130/001/2025"</f>
        <v>23.130/001/2025</v>
      </c>
      <c r="B1052" s="4" t="str">
        <f>"Klartext reden - Selbstbewusst und souverän kommunizieren - online"</f>
        <v>Klartext reden - Selbstbewusst und souverän kommunizieren - online</v>
      </c>
      <c r="C1052" s="5">
        <v>45973</v>
      </c>
      <c r="D1052" s="5">
        <v>45974</v>
      </c>
      <c r="E1052" s="4" t="str">
        <f t="shared" si="43"/>
        <v>2 Tage</v>
      </c>
      <c r="F1052" s="17">
        <v>330</v>
      </c>
      <c r="G1052" s="4" t="s">
        <v>14</v>
      </c>
      <c r="H1052" s="4" t="s">
        <v>11</v>
      </c>
    </row>
    <row r="1053" spans="1:8" x14ac:dyDescent="0.2">
      <c r="A1053" s="4" t="str">
        <f>"23.140/001/2025"</f>
        <v>23.140/001/2025</v>
      </c>
      <c r="B1053" s="4" t="str">
        <f>"Gezielter kommunizieren - Neurokommunikation - online"</f>
        <v>Gezielter kommunizieren - Neurokommunikation - online</v>
      </c>
      <c r="C1053" s="5">
        <v>45922</v>
      </c>
      <c r="D1053" s="5">
        <v>45923</v>
      </c>
      <c r="E1053" s="4" t="str">
        <f t="shared" si="43"/>
        <v>2 Tage</v>
      </c>
      <c r="F1053" s="17">
        <v>330</v>
      </c>
      <c r="G1053" s="4" t="s">
        <v>14</v>
      </c>
      <c r="H1053" s="4" t="s">
        <v>11</v>
      </c>
    </row>
    <row r="1054" spans="1:8" x14ac:dyDescent="0.2">
      <c r="A1054" s="4" t="str">
        <f>"23.215/001/2025"</f>
        <v>23.215/001/2025</v>
      </c>
      <c r="B1054" s="4" t="str">
        <f>"Rhetorik 1 - Sprechen vor Publikum - online"</f>
        <v>Rhetorik 1 - Sprechen vor Publikum - online</v>
      </c>
      <c r="C1054" s="5">
        <v>45663</v>
      </c>
      <c r="D1054" s="5">
        <v>45664</v>
      </c>
      <c r="E1054" s="4" t="str">
        <f t="shared" si="43"/>
        <v>2 Tage</v>
      </c>
      <c r="F1054" s="17">
        <v>330</v>
      </c>
      <c r="G1054" s="4" t="s">
        <v>14</v>
      </c>
      <c r="H1054" s="4" t="s">
        <v>11</v>
      </c>
    </row>
    <row r="1055" spans="1:8" x14ac:dyDescent="0.2">
      <c r="A1055" s="4" t="str">
        <f>"23.215/002/2025"</f>
        <v>23.215/002/2025</v>
      </c>
      <c r="B1055" s="4" t="str">
        <f>"Rhetorik 1 - Sprechen vor Publikum - online"</f>
        <v>Rhetorik 1 - Sprechen vor Publikum - online</v>
      </c>
      <c r="C1055" s="5">
        <v>45747</v>
      </c>
      <c r="D1055" s="5">
        <v>45748</v>
      </c>
      <c r="E1055" s="4" t="str">
        <f t="shared" si="43"/>
        <v>2 Tage</v>
      </c>
      <c r="F1055" s="17">
        <v>330</v>
      </c>
      <c r="G1055" s="4" t="s">
        <v>14</v>
      </c>
      <c r="H1055" s="4" t="s">
        <v>11</v>
      </c>
    </row>
    <row r="1056" spans="1:8" x14ac:dyDescent="0.2">
      <c r="A1056" s="4" t="str">
        <f>"23.216/001/2025"</f>
        <v>23.216/001/2025</v>
      </c>
      <c r="B1056" s="4" t="str">
        <f>"Rhetorik 2 - Argumentieren und überzeugen - online"</f>
        <v>Rhetorik 2 - Argumentieren und überzeugen - online</v>
      </c>
      <c r="C1056" s="5">
        <v>45784</v>
      </c>
      <c r="D1056" s="5">
        <v>45785</v>
      </c>
      <c r="E1056" s="4" t="str">
        <f t="shared" si="43"/>
        <v>2 Tage</v>
      </c>
      <c r="F1056" s="17">
        <v>330</v>
      </c>
      <c r="G1056" s="4" t="s">
        <v>14</v>
      </c>
      <c r="H1056" s="4" t="s">
        <v>11</v>
      </c>
    </row>
    <row r="1057" spans="1:8" x14ac:dyDescent="0.2">
      <c r="A1057" s="4" t="str">
        <f>"23.217/001/2025"</f>
        <v>23.217/001/2025</v>
      </c>
      <c r="B1057" s="4" t="str">
        <f>"Rhetorik 3 - Schwierige Gespräche und Interventionen - online"</f>
        <v>Rhetorik 3 - Schwierige Gespräche und Interventionen - online</v>
      </c>
      <c r="C1057" s="5">
        <v>45957</v>
      </c>
      <c r="D1057" s="5">
        <v>45958</v>
      </c>
      <c r="E1057" s="4" t="str">
        <f t="shared" si="43"/>
        <v>2 Tage</v>
      </c>
      <c r="F1057" s="17">
        <v>330</v>
      </c>
      <c r="G1057" s="4" t="s">
        <v>14</v>
      </c>
      <c r="H1057" s="4" t="s">
        <v>11</v>
      </c>
    </row>
    <row r="1058" spans="1:8" x14ac:dyDescent="0.2">
      <c r="A1058" s="4" t="str">
        <f>"23.218/001/2025"</f>
        <v>23.218/001/2025</v>
      </c>
      <c r="B1058" s="4" t="str">
        <f>"Rhetorik 4 - Erfolgreiche Verhandlungsführung - online"</f>
        <v>Rhetorik 4 - Erfolgreiche Verhandlungsführung - online</v>
      </c>
      <c r="C1058" s="5">
        <v>46006</v>
      </c>
      <c r="D1058" s="5">
        <v>46007</v>
      </c>
      <c r="E1058" s="4" t="str">
        <f t="shared" si="43"/>
        <v>2 Tage</v>
      </c>
      <c r="F1058" s="17">
        <v>330</v>
      </c>
      <c r="G1058" s="4" t="s">
        <v>17</v>
      </c>
      <c r="H1058" s="4" t="s">
        <v>11</v>
      </c>
    </row>
    <row r="1059" spans="1:8" x14ac:dyDescent="0.2">
      <c r="A1059" s="4" t="str">
        <f>"23.220/001/2025"</f>
        <v>23.220/001/2025</v>
      </c>
      <c r="B1059" s="4" t="str">
        <f>"Rhetorik und Stimmtraining - Einführung - online"</f>
        <v>Rhetorik und Stimmtraining - Einführung - online</v>
      </c>
      <c r="C1059" s="5">
        <v>45978</v>
      </c>
      <c r="D1059" s="5">
        <v>45979</v>
      </c>
      <c r="E1059" s="4" t="str">
        <f t="shared" si="43"/>
        <v>2 Tage</v>
      </c>
      <c r="F1059" s="17">
        <v>330</v>
      </c>
      <c r="G1059" s="4" t="s">
        <v>17</v>
      </c>
      <c r="H1059" s="4" t="s">
        <v>11</v>
      </c>
    </row>
    <row r="1060" spans="1:8" x14ac:dyDescent="0.2">
      <c r="A1060" s="4" t="str">
        <f>"23.245/001/2025"</f>
        <v>23.245/001/2025</v>
      </c>
      <c r="B1060" s="4" t="str">
        <f>"Rhetorik und Stimmtraining für Frauen - online"</f>
        <v>Rhetorik und Stimmtraining für Frauen - online</v>
      </c>
      <c r="C1060" s="5">
        <v>45673</v>
      </c>
      <c r="D1060" s="5">
        <v>45674</v>
      </c>
      <c r="E1060" s="4" t="str">
        <f t="shared" si="43"/>
        <v>2 Tage</v>
      </c>
      <c r="F1060" s="17">
        <v>330</v>
      </c>
      <c r="G1060" s="4" t="s">
        <v>17</v>
      </c>
      <c r="H1060" s="4" t="s">
        <v>11</v>
      </c>
    </row>
    <row r="1061" spans="1:8" x14ac:dyDescent="0.2">
      <c r="A1061" s="4" t="str">
        <f>"23.245/002/2025"</f>
        <v>23.245/002/2025</v>
      </c>
      <c r="B1061" s="4" t="str">
        <f>"Rhetorik und Stimmtraining für Frauen - online"</f>
        <v>Rhetorik und Stimmtraining für Frauen - online</v>
      </c>
      <c r="C1061" s="5">
        <v>45987</v>
      </c>
      <c r="D1061" s="5">
        <v>45988</v>
      </c>
      <c r="E1061" s="4" t="str">
        <f t="shared" si="43"/>
        <v>2 Tage</v>
      </c>
      <c r="F1061" s="17">
        <v>330</v>
      </c>
      <c r="G1061" s="4" t="s">
        <v>17</v>
      </c>
      <c r="H1061" s="4" t="s">
        <v>11</v>
      </c>
    </row>
    <row r="1062" spans="1:8" x14ac:dyDescent="0.2">
      <c r="A1062" s="4" t="str">
        <f>"23.315/001/2025"</f>
        <v>23.315/001/2025</v>
      </c>
      <c r="B1062" s="4" t="str">
        <f>"Onlinekommunikation - Stimme, Körpersprache und Wirkung optimieren - online"</f>
        <v>Onlinekommunikation - Stimme, Körpersprache und Wirkung optimieren - online</v>
      </c>
      <c r="C1062" s="5">
        <v>45785</v>
      </c>
      <c r="D1062" s="5">
        <v>45786</v>
      </c>
      <c r="E1062" s="4" t="str">
        <f t="shared" si="43"/>
        <v>2 Tage</v>
      </c>
      <c r="F1062" s="17">
        <v>330</v>
      </c>
      <c r="G1062" s="4" t="s">
        <v>14</v>
      </c>
      <c r="H1062" s="4" t="s">
        <v>11</v>
      </c>
    </row>
    <row r="1063" spans="1:8" x14ac:dyDescent="0.2">
      <c r="A1063" s="4" t="str">
        <f>"23.330/001/2025"</f>
        <v>23.330/001/2025</v>
      </c>
      <c r="B1063" s="4" t="str">
        <f>"Besprechungen kompetent leiten - online"</f>
        <v>Besprechungen kompetent leiten - online</v>
      </c>
      <c r="C1063" s="5">
        <v>45670</v>
      </c>
      <c r="D1063" s="5">
        <v>45671</v>
      </c>
      <c r="E1063" s="4" t="str">
        <f t="shared" si="43"/>
        <v>2 Tage</v>
      </c>
      <c r="F1063" s="17">
        <v>330</v>
      </c>
      <c r="G1063" s="4" t="s">
        <v>17</v>
      </c>
      <c r="H1063" s="4" t="s">
        <v>11</v>
      </c>
    </row>
    <row r="1064" spans="1:8" x14ac:dyDescent="0.2">
      <c r="A1064" s="4" t="str">
        <f>"23.330/002/2025"</f>
        <v>23.330/002/2025</v>
      </c>
      <c r="B1064" s="4" t="str">
        <f>"Besprechungen kompetent leiten - online"</f>
        <v>Besprechungen kompetent leiten - online</v>
      </c>
      <c r="C1064" s="5">
        <v>46007</v>
      </c>
      <c r="D1064" s="5">
        <v>46008</v>
      </c>
      <c r="E1064" s="4" t="str">
        <f t="shared" si="43"/>
        <v>2 Tage</v>
      </c>
      <c r="F1064" s="17">
        <v>330</v>
      </c>
      <c r="G1064" s="4" t="s">
        <v>17</v>
      </c>
      <c r="H1064" s="4" t="s">
        <v>11</v>
      </c>
    </row>
    <row r="1065" spans="1:8" x14ac:dyDescent="0.2">
      <c r="A1065" s="4" t="str">
        <f>"23.350/001/2025"</f>
        <v>23.350/001/2025</v>
      </c>
      <c r="B1065" s="4" t="str">
        <f>"Kundenfreundliche Kommunikation am Telefon - online"</f>
        <v>Kundenfreundliche Kommunikation am Telefon - online</v>
      </c>
      <c r="C1065" s="5">
        <v>45973</v>
      </c>
      <c r="D1065" s="5">
        <v>45974</v>
      </c>
      <c r="E1065" s="4" t="str">
        <f t="shared" si="43"/>
        <v>2 Tage</v>
      </c>
      <c r="F1065" s="17">
        <v>330</v>
      </c>
      <c r="G1065" s="4" t="s">
        <v>17</v>
      </c>
      <c r="H1065" s="4" t="s">
        <v>11</v>
      </c>
    </row>
    <row r="1066" spans="1:8" x14ac:dyDescent="0.2">
      <c r="A1066" s="4" t="str">
        <f>"23.355/001/2025"</f>
        <v>23.355/001/2025</v>
      </c>
      <c r="B1066" s="4" t="str">
        <f>"Kommunikation im Außendienst - online"</f>
        <v>Kommunikation im Außendienst - online</v>
      </c>
      <c r="C1066" s="5">
        <v>45973</v>
      </c>
      <c r="D1066" s="5">
        <v>45974</v>
      </c>
      <c r="E1066" s="4" t="str">
        <f t="shared" si="43"/>
        <v>2 Tage</v>
      </c>
      <c r="F1066" s="17">
        <v>330</v>
      </c>
      <c r="G1066" s="4" t="s">
        <v>17</v>
      </c>
      <c r="H1066" s="4" t="s">
        <v>11</v>
      </c>
    </row>
    <row r="1067" spans="1:8" x14ac:dyDescent="0.2">
      <c r="A1067" s="4" t="str">
        <f>"23.420/001/2025"</f>
        <v>23.420/001/2025</v>
      </c>
      <c r="B1067" s="4" t="str">
        <f>"Umgang mit Konflikten am Arbeitsplatz - online"</f>
        <v>Umgang mit Konflikten am Arbeitsplatz - online</v>
      </c>
      <c r="C1067" s="5">
        <v>45782</v>
      </c>
      <c r="D1067" s="5">
        <v>45783</v>
      </c>
      <c r="E1067" s="4" t="str">
        <f t="shared" si="43"/>
        <v>2 Tage</v>
      </c>
      <c r="F1067" s="17">
        <v>330</v>
      </c>
      <c r="G1067" s="4" t="s">
        <v>17</v>
      </c>
      <c r="H1067" s="4" t="s">
        <v>11</v>
      </c>
    </row>
    <row r="1068" spans="1:8" x14ac:dyDescent="0.2">
      <c r="A1068" s="4" t="str">
        <f>"23.435/001/2025"</f>
        <v>23.435/001/2025</v>
      </c>
      <c r="B1068" s="4" t="str">
        <f>"Schlagfertigkeit - bei schwierigen oder unsachlichen Einwänden - online"</f>
        <v>Schlagfertigkeit - bei schwierigen oder unsachlichen Einwänden - online</v>
      </c>
      <c r="C1068" s="5">
        <v>45692</v>
      </c>
      <c r="D1068" s="5">
        <v>45693</v>
      </c>
      <c r="E1068" s="4" t="str">
        <f t="shared" si="43"/>
        <v>2 Tage</v>
      </c>
      <c r="F1068" s="17">
        <v>330</v>
      </c>
      <c r="G1068" s="4" t="s">
        <v>17</v>
      </c>
      <c r="H1068" s="4" t="s">
        <v>11</v>
      </c>
    </row>
    <row r="1069" spans="1:8" x14ac:dyDescent="0.2">
      <c r="A1069" s="4" t="str">
        <f>"23.435/002/2025"</f>
        <v>23.435/002/2025</v>
      </c>
      <c r="B1069" s="4" t="str">
        <f>"Schlagfertigkeit - bei schwierigen oder unsachlichen Einwänden - online"</f>
        <v>Schlagfertigkeit - bei schwierigen oder unsachlichen Einwänden - online</v>
      </c>
      <c r="C1069" s="5">
        <v>45999</v>
      </c>
      <c r="D1069" s="5">
        <v>46000</v>
      </c>
      <c r="E1069" s="4" t="str">
        <f t="shared" si="43"/>
        <v>2 Tage</v>
      </c>
      <c r="F1069" s="17">
        <v>330</v>
      </c>
      <c r="G1069" s="4" t="s">
        <v>17</v>
      </c>
      <c r="H1069" s="4" t="s">
        <v>11</v>
      </c>
    </row>
    <row r="1070" spans="1:8" x14ac:dyDescent="0.2">
      <c r="A1070" s="4" t="str">
        <f>"23.455/001/2025"</f>
        <v>23.455/001/2025</v>
      </c>
      <c r="B1070" s="4" t="str">
        <f>"Konfliktmanagement für Führungskräfte - online"</f>
        <v>Konfliktmanagement für Führungskräfte - online</v>
      </c>
      <c r="C1070" s="5">
        <v>45700</v>
      </c>
      <c r="D1070" s="5">
        <v>45701</v>
      </c>
      <c r="E1070" s="4" t="str">
        <f t="shared" si="43"/>
        <v>2 Tage</v>
      </c>
      <c r="F1070" s="17">
        <v>330</v>
      </c>
      <c r="G1070" s="4" t="s">
        <v>17</v>
      </c>
      <c r="H1070" s="4" t="s">
        <v>11</v>
      </c>
    </row>
    <row r="1071" spans="1:8" x14ac:dyDescent="0.2">
      <c r="A1071" s="4" t="str">
        <f>"23.475/001/2025"</f>
        <v>23.475/001/2025</v>
      </c>
      <c r="B1071" s="4" t="str">
        <f>"Mut steht Dir - wie Frauen souverän in Konfliktsituationen auftreten - online"</f>
        <v>Mut steht Dir - wie Frauen souverän in Konfliktsituationen auftreten - online</v>
      </c>
      <c r="C1071" s="5">
        <v>45684</v>
      </c>
      <c r="D1071" s="5">
        <v>45684</v>
      </c>
      <c r="E1071" s="4" t="str">
        <f>"0,5 Tage"</f>
        <v>0,5 Tage</v>
      </c>
      <c r="F1071" s="17">
        <v>110</v>
      </c>
      <c r="G1071" s="4" t="s">
        <v>17</v>
      </c>
      <c r="H1071" s="4" t="s">
        <v>11</v>
      </c>
    </row>
    <row r="1072" spans="1:8" x14ac:dyDescent="0.2">
      <c r="A1072" s="4" t="str">
        <f>"23.475/002/2025"</f>
        <v>23.475/002/2025</v>
      </c>
      <c r="B1072" s="4" t="str">
        <f>"Mut steht Dir - wie Frauen souverän in Konfliktsituationen auftreten - online"</f>
        <v>Mut steht Dir - wie Frauen souverän in Konfliktsituationen auftreten - online</v>
      </c>
      <c r="C1072" s="5">
        <v>45922</v>
      </c>
      <c r="D1072" s="5">
        <v>45922</v>
      </c>
      <c r="E1072" s="4" t="str">
        <f>"0,5 Tage"</f>
        <v>0,5 Tage</v>
      </c>
      <c r="F1072" s="17">
        <v>110</v>
      </c>
      <c r="G1072" s="4" t="s">
        <v>17</v>
      </c>
      <c r="H1072" s="4" t="s">
        <v>11</v>
      </c>
    </row>
    <row r="1073" spans="1:8" x14ac:dyDescent="0.2">
      <c r="A1073" s="4" t="str">
        <f>"23.530/001/2025"</f>
        <v>23.530/001/2025</v>
      </c>
      <c r="B1073" s="4" t="str">
        <f>"Erfolgreiche Zusammenarbeit auf Distanz - Teams in Telearbeit - online"</f>
        <v>Erfolgreiche Zusammenarbeit auf Distanz - Teams in Telearbeit - online</v>
      </c>
      <c r="C1073" s="5">
        <v>45726</v>
      </c>
      <c r="D1073" s="5">
        <v>45727</v>
      </c>
      <c r="E1073" s="4" t="str">
        <f>"2 Tage"</f>
        <v>2 Tage</v>
      </c>
      <c r="F1073" s="17">
        <v>330</v>
      </c>
      <c r="G1073" s="4" t="s">
        <v>17</v>
      </c>
      <c r="H1073" s="4" t="s">
        <v>11</v>
      </c>
    </row>
    <row r="1074" spans="1:8" x14ac:dyDescent="0.2">
      <c r="A1074" s="4" t="str">
        <f>"24.115/001/2025"</f>
        <v>24.115/001/2025</v>
      </c>
      <c r="B1074" s="4" t="str">
        <f>"Einführung in die Presse- und Öffentlichkeitsarbeit kompakt - online"</f>
        <v>Einführung in die Presse- und Öffentlichkeitsarbeit kompakt - online</v>
      </c>
      <c r="C1074" s="5">
        <v>45923</v>
      </c>
      <c r="D1074" s="5">
        <v>45923</v>
      </c>
      <c r="E1074" s="4" t="str">
        <f>"1 Tag"</f>
        <v>1 Tag</v>
      </c>
      <c r="F1074" s="17">
        <v>170</v>
      </c>
      <c r="G1074" s="4" t="s">
        <v>14</v>
      </c>
      <c r="H1074" s="4" t="s">
        <v>11</v>
      </c>
    </row>
    <row r="1075" spans="1:8" x14ac:dyDescent="0.2">
      <c r="A1075" s="4" t="str">
        <f>"24.215/001/2025"</f>
        <v>24.215/001/2025</v>
      </c>
      <c r="B1075" s="4" t="str">
        <f>"Von Webseite bis Social Media - Grundlagen erfolgreicher Onlinekommunikation - online"</f>
        <v>Von Webseite bis Social Media - Grundlagen erfolgreicher Onlinekommunikation - online</v>
      </c>
      <c r="C1075" s="5">
        <v>45755</v>
      </c>
      <c r="D1075" s="5">
        <v>45756</v>
      </c>
      <c r="E1075" s="4" t="str">
        <f>"2 Tage"</f>
        <v>2 Tage</v>
      </c>
      <c r="F1075" s="17">
        <v>330</v>
      </c>
      <c r="G1075" s="4" t="s">
        <v>14</v>
      </c>
      <c r="H1075" s="4" t="s">
        <v>11</v>
      </c>
    </row>
    <row r="1076" spans="1:8" x14ac:dyDescent="0.2">
      <c r="A1076" s="4" t="str">
        <f>"24.225/001/2025"</f>
        <v>24.225/001/2025</v>
      </c>
      <c r="B1076" s="4" t="str">
        <f>"Erfolgreiche Internetauftritte gestalten - online "</f>
        <v xml:space="preserve">Erfolgreiche Internetauftritte gestalten - online </v>
      </c>
      <c r="C1076" s="5">
        <v>45790</v>
      </c>
      <c r="D1076" s="5">
        <v>45791</v>
      </c>
      <c r="E1076" s="4" t="str">
        <f>"2 Tage"</f>
        <v>2 Tage</v>
      </c>
      <c r="F1076" s="17">
        <v>330</v>
      </c>
      <c r="G1076" s="4" t="s">
        <v>17</v>
      </c>
      <c r="H1076" s="4" t="s">
        <v>11</v>
      </c>
    </row>
    <row r="1077" spans="1:8" x14ac:dyDescent="0.2">
      <c r="A1077" s="4" t="str">
        <f>"24.245/001/2025"</f>
        <v>24.245/001/2025</v>
      </c>
      <c r="B1077" s="4" t="str">
        <f>"Online-Events professionell planen und durchführen - online "</f>
        <v xml:space="preserve">Online-Events professionell planen und durchführen - online </v>
      </c>
      <c r="C1077" s="5">
        <v>45819</v>
      </c>
      <c r="D1077" s="5">
        <v>45820</v>
      </c>
      <c r="E1077" s="4" t="str">
        <f>"2 Tage"</f>
        <v>2 Tage</v>
      </c>
      <c r="F1077" s="17">
        <v>330</v>
      </c>
      <c r="G1077" s="4" t="s">
        <v>14</v>
      </c>
      <c r="H1077" s="4" t="s">
        <v>11</v>
      </c>
    </row>
    <row r="1078" spans="1:8" x14ac:dyDescent="0.2">
      <c r="A1078" s="4" t="str">
        <f>"24.255/001/2025"</f>
        <v>24.255/001/2025</v>
      </c>
      <c r="B1078" s="4" t="str">
        <f>"Workshop: Videos mit dem Smartphone drehen und schneiden - online"</f>
        <v>Workshop: Videos mit dem Smartphone drehen und schneiden - online</v>
      </c>
      <c r="C1078" s="5">
        <v>45894</v>
      </c>
      <c r="D1078" s="5">
        <v>45904</v>
      </c>
      <c r="E1078" s="4" t="str">
        <f>"2 x 1 Tag"</f>
        <v>2 x 1 Tag</v>
      </c>
      <c r="F1078" s="17">
        <v>560</v>
      </c>
      <c r="G1078" s="4"/>
      <c r="H1078" s="4" t="s">
        <v>11</v>
      </c>
    </row>
    <row r="1079" spans="1:8" x14ac:dyDescent="0.2">
      <c r="A1079" s="4" t="str">
        <f>"24.255/001 a/2025"</f>
        <v>24.255/001 a/2025</v>
      </c>
      <c r="B1079" s="4" t="str">
        <f>"Workshop: Videos mit dem Smartphone drehen und schneiden - online"</f>
        <v>Workshop: Videos mit dem Smartphone drehen und schneiden - online</v>
      </c>
      <c r="C1079" s="5">
        <v>45894</v>
      </c>
      <c r="D1079" s="5">
        <v>45894</v>
      </c>
      <c r="E1079" s="4"/>
      <c r="F1079" s="17"/>
      <c r="G1079" s="4" t="s">
        <v>14</v>
      </c>
      <c r="H1079" s="4" t="s">
        <v>11</v>
      </c>
    </row>
    <row r="1080" spans="1:8" x14ac:dyDescent="0.2">
      <c r="A1080" s="4" t="str">
        <f>"24.255/001 b/2025"</f>
        <v>24.255/001 b/2025</v>
      </c>
      <c r="B1080" s="4" t="str">
        <f>"Workshop: Videos mit dem Smartphone drehen und schneiden - online"</f>
        <v>Workshop: Videos mit dem Smartphone drehen und schneiden - online</v>
      </c>
      <c r="C1080" s="5">
        <v>45904</v>
      </c>
      <c r="D1080" s="5">
        <v>45904</v>
      </c>
      <c r="E1080" s="4"/>
      <c r="F1080" s="17"/>
      <c r="G1080" s="4" t="s">
        <v>14</v>
      </c>
      <c r="H1080" s="4" t="s">
        <v>11</v>
      </c>
    </row>
    <row r="1081" spans="1:8" x14ac:dyDescent="0.2">
      <c r="A1081" s="4" t="str">
        <f>"24.315/001/2025"</f>
        <v>24.315/001/2025</v>
      </c>
      <c r="B1081" s="4" t="str">
        <f>"Texten für das Internet - online"</f>
        <v>Texten für das Internet - online</v>
      </c>
      <c r="C1081" s="5">
        <v>45692</v>
      </c>
      <c r="D1081" s="5">
        <v>45693</v>
      </c>
      <c r="E1081" s="4" t="str">
        <f>"2 Tage"</f>
        <v>2 Tage</v>
      </c>
      <c r="F1081" s="17">
        <v>330</v>
      </c>
      <c r="G1081" s="4" t="s">
        <v>17</v>
      </c>
      <c r="H1081" s="4" t="s">
        <v>11</v>
      </c>
    </row>
    <row r="1082" spans="1:8" x14ac:dyDescent="0.2">
      <c r="A1082" s="4" t="str">
        <f>"24.320/001/2025"</f>
        <v>24.320/001/2025</v>
      </c>
      <c r="B1082" s="4" t="str">
        <f>"Moderne Verwaltungssprache - klar, verständlich, adressatengerecht - online"</f>
        <v>Moderne Verwaltungssprache - klar, verständlich, adressatengerecht - online</v>
      </c>
      <c r="C1082" s="5">
        <v>45908</v>
      </c>
      <c r="D1082" s="5">
        <v>45909</v>
      </c>
      <c r="E1082" s="4" t="str">
        <f>"2 Tage"</f>
        <v>2 Tage</v>
      </c>
      <c r="F1082" s="17">
        <v>490</v>
      </c>
      <c r="G1082" s="4" t="s">
        <v>17</v>
      </c>
      <c r="H1082" s="4" t="s">
        <v>11</v>
      </c>
    </row>
    <row r="1083" spans="1:8" x14ac:dyDescent="0.2">
      <c r="A1083" s="4" t="str">
        <f>"24.340/001/2025"</f>
        <v>24.340/001/2025</v>
      </c>
      <c r="B1083" s="4" t="str">
        <f>"Rechtschreibung, Zeichensetzung und DIN 5008 für korrekte Korrespondenz - online"</f>
        <v>Rechtschreibung, Zeichensetzung und DIN 5008 für korrekte Korrespondenz - online</v>
      </c>
      <c r="C1083" s="5">
        <v>45712</v>
      </c>
      <c r="D1083" s="5">
        <v>45713</v>
      </c>
      <c r="E1083" s="4" t="str">
        <f>"2 Tage"</f>
        <v>2 Tage</v>
      </c>
      <c r="F1083" s="17">
        <v>330</v>
      </c>
      <c r="G1083" s="4" t="s">
        <v>17</v>
      </c>
      <c r="H1083" s="4" t="s">
        <v>11</v>
      </c>
    </row>
    <row r="1084" spans="1:8" x14ac:dyDescent="0.2">
      <c r="A1084" s="4" t="str">
        <f>"24.342/001/2025"</f>
        <v>24.342/001/2025</v>
      </c>
      <c r="B1084" s="4" t="str">
        <f>"Geschicktes Gendern in Wort und Schrift - online"</f>
        <v>Geschicktes Gendern in Wort und Schrift - online</v>
      </c>
      <c r="C1084" s="5">
        <v>45784</v>
      </c>
      <c r="D1084" s="5">
        <v>45784</v>
      </c>
      <c r="E1084" s="4" t="str">
        <f>"1 Tag"</f>
        <v>1 Tag</v>
      </c>
      <c r="F1084" s="17">
        <v>220</v>
      </c>
      <c r="G1084" s="4" t="s">
        <v>17</v>
      </c>
      <c r="H1084" s="4" t="s">
        <v>11</v>
      </c>
    </row>
    <row r="1085" spans="1:8" x14ac:dyDescent="0.2">
      <c r="A1085" s="4" t="str">
        <f>"24.344/001/2025"</f>
        <v>24.344/001/2025</v>
      </c>
      <c r="B1085" s="4" t="str">
        <f>"KI in Behörden - Umgang mit ChatGPT und anderen Text-Tools - online"</f>
        <v>KI in Behörden - Umgang mit ChatGPT und anderen Text-Tools - online</v>
      </c>
      <c r="C1085" s="5">
        <v>45769</v>
      </c>
      <c r="D1085" s="5">
        <v>45770</v>
      </c>
      <c r="E1085" s="4" t="str">
        <f>"2 Tage"</f>
        <v>2 Tage</v>
      </c>
      <c r="F1085" s="17">
        <v>330</v>
      </c>
      <c r="G1085" s="4" t="s">
        <v>17</v>
      </c>
      <c r="H1085" s="4" t="s">
        <v>11</v>
      </c>
    </row>
    <row r="1086" spans="1:8" x14ac:dyDescent="0.2">
      <c r="A1086" s="4" t="str">
        <f>"24.344/002/2025"</f>
        <v>24.344/002/2025</v>
      </c>
      <c r="B1086" s="4" t="str">
        <f>"KI in Behörden - Umgang mit ChatGPT und anderen Text-Tools - online"</f>
        <v>KI in Behörden - Umgang mit ChatGPT und anderen Text-Tools - online</v>
      </c>
      <c r="C1086" s="5">
        <v>45971</v>
      </c>
      <c r="D1086" s="5">
        <v>45972</v>
      </c>
      <c r="E1086" s="4" t="str">
        <f>"2 Tage"</f>
        <v>2 Tage</v>
      </c>
      <c r="F1086" s="17">
        <v>330</v>
      </c>
      <c r="G1086" s="4" t="s">
        <v>14</v>
      </c>
      <c r="H1086" s="4" t="s">
        <v>11</v>
      </c>
    </row>
    <row r="1087" spans="1:8" x14ac:dyDescent="0.2">
      <c r="A1087" s="4" t="str">
        <f>"25.130/001/2025"</f>
        <v>25.130/001/2025</v>
      </c>
      <c r="B1087" s="4" t="str">
        <f>"Gleichstellung in a nutshell: Basiswissen für Gleichstellungsbeauftragte - online"</f>
        <v>Gleichstellung in a nutshell: Basiswissen für Gleichstellungsbeauftragte - online</v>
      </c>
      <c r="C1087" s="5">
        <v>45833</v>
      </c>
      <c r="D1087" s="5">
        <v>45833</v>
      </c>
      <c r="E1087" s="4" t="str">
        <f>"1 Tag"</f>
        <v>1 Tag</v>
      </c>
      <c r="F1087" s="17">
        <v>230</v>
      </c>
      <c r="G1087" s="4" t="s">
        <v>14</v>
      </c>
      <c r="H1087" s="4" t="s">
        <v>11</v>
      </c>
    </row>
    <row r="1088" spans="1:8" x14ac:dyDescent="0.2">
      <c r="A1088" s="4" t="str">
        <f>"25.140/001/2025"</f>
        <v>25.140/001/2025</v>
      </c>
      <c r="B1088" s="4" t="str">
        <f>"Kompetent im Beurteilungsverfahren - für Gleichstellungsbeauftragte - online"</f>
        <v>Kompetent im Beurteilungsverfahren - für Gleichstellungsbeauftragte - online</v>
      </c>
      <c r="C1088" s="5">
        <v>45756</v>
      </c>
      <c r="D1088" s="5">
        <v>45757</v>
      </c>
      <c r="E1088" s="4" t="str">
        <f>"2 Tage"</f>
        <v>2 Tage</v>
      </c>
      <c r="F1088" s="17">
        <v>410</v>
      </c>
      <c r="G1088" s="4" t="s">
        <v>17</v>
      </c>
      <c r="H1088" s="4" t="s">
        <v>11</v>
      </c>
    </row>
    <row r="1089" spans="1:8" x14ac:dyDescent="0.2">
      <c r="A1089" s="4" t="str">
        <f>"25.210/001/2025"</f>
        <v>25.210/001/2025</v>
      </c>
      <c r="B1089" s="4" t="str">
        <f>"Wege aus der Gender-Falle: Einführung - online"</f>
        <v>Wege aus der Gender-Falle: Einführung - online</v>
      </c>
      <c r="C1089" s="5">
        <v>45953</v>
      </c>
      <c r="D1089" s="5">
        <v>45954</v>
      </c>
      <c r="E1089" s="4" t="str">
        <f>"2 Tage"</f>
        <v>2 Tage</v>
      </c>
      <c r="F1089" s="17">
        <v>330</v>
      </c>
      <c r="G1089" s="4" t="s">
        <v>14</v>
      </c>
      <c r="H1089" s="4" t="s">
        <v>11</v>
      </c>
    </row>
    <row r="1090" spans="1:8" x14ac:dyDescent="0.2">
      <c r="A1090" s="4" t="str">
        <f>"25.230/001/2025"</f>
        <v>25.230/001/2025</v>
      </c>
      <c r="B1090" s="4" t="str">
        <f>"Inklusive Vielfalt - Grundlagen eines diversityorientierten Perspektivwechsels - online"</f>
        <v>Inklusive Vielfalt - Grundlagen eines diversityorientierten Perspektivwechsels - online</v>
      </c>
      <c r="C1090" s="5">
        <v>45978</v>
      </c>
      <c r="D1090" s="5">
        <v>45978</v>
      </c>
      <c r="E1090" s="4" t="str">
        <f>"1 Tag"</f>
        <v>1 Tag</v>
      </c>
      <c r="F1090" s="17">
        <v>170</v>
      </c>
      <c r="G1090" s="4" t="s">
        <v>17</v>
      </c>
      <c r="H1090" s="4" t="s">
        <v>11</v>
      </c>
    </row>
    <row r="1091" spans="1:8" x14ac:dyDescent="0.2">
      <c r="A1091" s="4" t="str">
        <f>"25.250/001/2025"</f>
        <v>25.250/001/2025</v>
      </c>
      <c r="B1091" s="4" t="str">
        <f>"Interkulturelle Kompetenz - kompakt"</f>
        <v>Interkulturelle Kompetenz - kompakt</v>
      </c>
      <c r="C1091" s="5">
        <v>45954</v>
      </c>
      <c r="D1091" s="5">
        <v>45954</v>
      </c>
      <c r="E1091" s="4" t="str">
        <f>"1 Tag"</f>
        <v>1 Tag</v>
      </c>
      <c r="F1091" s="17">
        <v>160</v>
      </c>
      <c r="G1091" s="4" t="s">
        <v>17</v>
      </c>
      <c r="H1091" s="4" t="s">
        <v>11</v>
      </c>
    </row>
    <row r="1092" spans="1:8" x14ac:dyDescent="0.2">
      <c r="A1092" s="4" t="str">
        <f>"25.282/001/2025"</f>
        <v>25.282/001/2025</v>
      </c>
      <c r="B1092" s="4" t="str">
        <f>"Vielfalt@Work - Interkulturelle Öffnung der Verwaltung - Blended Learning"</f>
        <v>Vielfalt@Work - Interkulturelle Öffnung der Verwaltung - Blended Learning</v>
      </c>
      <c r="C1092" s="5">
        <v>45919</v>
      </c>
      <c r="D1092" s="5">
        <v>45961</v>
      </c>
      <c r="E1092" s="4"/>
      <c r="F1092" s="17">
        <v>810</v>
      </c>
      <c r="G1092" s="4"/>
      <c r="H1092" s="4" t="s">
        <v>11</v>
      </c>
    </row>
    <row r="1093" spans="1:8" x14ac:dyDescent="0.2">
      <c r="A1093" s="4" t="str">
        <f>"25.282/001 a/2025"</f>
        <v>25.282/001 a/2025</v>
      </c>
      <c r="B1093" s="4" t="str">
        <f>"Vielfalt@Work - Interkulturelle Öffnung der Verwaltung - Blended Learning"</f>
        <v>Vielfalt@Work - Interkulturelle Öffnung der Verwaltung - Blended Learning</v>
      </c>
      <c r="C1093" s="5">
        <v>45919</v>
      </c>
      <c r="D1093" s="5">
        <v>45919</v>
      </c>
      <c r="E1093" s="4"/>
      <c r="F1093" s="17"/>
      <c r="G1093" s="4" t="s">
        <v>17</v>
      </c>
      <c r="H1093" s="4" t="s">
        <v>11</v>
      </c>
    </row>
    <row r="1094" spans="1:8" x14ac:dyDescent="0.2">
      <c r="A1094" s="4" t="str">
        <f>"25.282/001 b/2025"</f>
        <v>25.282/001 b/2025</v>
      </c>
      <c r="B1094" s="4" t="str">
        <f>"Vielfalt@Work - Interkulturelle Öffnung der Verwaltung - Blended Learning"</f>
        <v>Vielfalt@Work - Interkulturelle Öffnung der Verwaltung - Blended Learning</v>
      </c>
      <c r="C1094" s="5">
        <v>45961</v>
      </c>
      <c r="D1094" s="5">
        <v>45961</v>
      </c>
      <c r="E1094" s="4"/>
      <c r="F1094" s="17"/>
      <c r="G1094" s="4" t="s">
        <v>17</v>
      </c>
      <c r="H1094" s="4" t="s">
        <v>11</v>
      </c>
    </row>
    <row r="1095" spans="1:8" x14ac:dyDescent="0.2">
      <c r="A1095" s="4" t="str">
        <f>"26.115/001/2025"</f>
        <v>26.115/001/2025</v>
      </c>
      <c r="B1095" s="4" t="str">
        <f>"Effektives Zeit- und Selbstmanagement - online"</f>
        <v>Effektives Zeit- und Selbstmanagement - online</v>
      </c>
      <c r="C1095" s="5">
        <v>45708</v>
      </c>
      <c r="D1095" s="5">
        <v>45709</v>
      </c>
      <c r="E1095" s="4" t="str">
        <f>"2 Tage"</f>
        <v>2 Tage</v>
      </c>
      <c r="F1095" s="17">
        <v>330</v>
      </c>
      <c r="G1095" s="4" t="s">
        <v>17</v>
      </c>
      <c r="H1095" s="4" t="s">
        <v>11</v>
      </c>
    </row>
    <row r="1096" spans="1:8" x14ac:dyDescent="0.2">
      <c r="A1096" s="4" t="str">
        <f>"26.115/003/2025"</f>
        <v>26.115/003/2025</v>
      </c>
      <c r="B1096" s="4" t="str">
        <f>"Effektives Zeit- und Selbstmanagement - online"</f>
        <v>Effektives Zeit- und Selbstmanagement - online</v>
      </c>
      <c r="C1096" s="5">
        <v>45897</v>
      </c>
      <c r="D1096" s="5">
        <v>45898</v>
      </c>
      <c r="E1096" s="4" t="str">
        <f>"2 Tage"</f>
        <v>2 Tage</v>
      </c>
      <c r="F1096" s="17">
        <v>330</v>
      </c>
      <c r="G1096" s="4" t="s">
        <v>17</v>
      </c>
      <c r="H1096" s="4" t="s">
        <v>11</v>
      </c>
    </row>
    <row r="1097" spans="1:8" x14ac:dyDescent="0.2">
      <c r="A1097" s="4" t="str">
        <f>"26.115/004/2025"</f>
        <v>26.115/004/2025</v>
      </c>
      <c r="B1097" s="4" t="str">
        <f>"Effektives Zeit- und Selbstmanagement - online"</f>
        <v>Effektives Zeit- und Selbstmanagement - online</v>
      </c>
      <c r="C1097" s="5">
        <v>45971</v>
      </c>
      <c r="D1097" s="5">
        <v>45972</v>
      </c>
      <c r="E1097" s="4" t="str">
        <f>"2 Tage"</f>
        <v>2 Tage</v>
      </c>
      <c r="F1097" s="17">
        <v>330</v>
      </c>
      <c r="G1097" s="4" t="s">
        <v>17</v>
      </c>
      <c r="H1097" s="4" t="s">
        <v>11</v>
      </c>
    </row>
    <row r="1098" spans="1:8" x14ac:dyDescent="0.2">
      <c r="A1098" s="4" t="str">
        <f>"26.120/001/2025"</f>
        <v>26.120/001/2025</v>
      </c>
      <c r="B1098" s="4" t="str">
        <f>"Zeitmanagement und Telearbeit - wie passt das zusammen? - online"</f>
        <v>Zeitmanagement und Telearbeit - wie passt das zusammen? - online</v>
      </c>
      <c r="C1098" s="5">
        <v>45671</v>
      </c>
      <c r="D1098" s="5">
        <v>45672</v>
      </c>
      <c r="E1098" s="4" t="str">
        <f>"2 Tage"</f>
        <v>2 Tage</v>
      </c>
      <c r="F1098" s="17">
        <v>330</v>
      </c>
      <c r="G1098" s="4" t="s">
        <v>17</v>
      </c>
      <c r="H1098" s="4" t="s">
        <v>11</v>
      </c>
    </row>
    <row r="1099" spans="1:8" x14ac:dyDescent="0.2">
      <c r="A1099" s="4" t="str">
        <f>"26.127/001/2025"</f>
        <v>26.127/001/2025</v>
      </c>
      <c r="B1099" s="4" t="str">
        <f>"Effektive Einarbeitung - erfolgreiche und zufriedenere Mitarbeitende - online"</f>
        <v>Effektive Einarbeitung - erfolgreiche und zufriedenere Mitarbeitende - online</v>
      </c>
      <c r="C1099" s="5">
        <v>45924</v>
      </c>
      <c r="D1099" s="5">
        <v>45925</v>
      </c>
      <c r="E1099" s="4" t="str">
        <f>"2 Tage"</f>
        <v>2 Tage</v>
      </c>
      <c r="F1099" s="17">
        <v>450</v>
      </c>
      <c r="G1099" s="4" t="s">
        <v>17</v>
      </c>
      <c r="H1099" s="4" t="s">
        <v>11</v>
      </c>
    </row>
    <row r="1100" spans="1:8" x14ac:dyDescent="0.2">
      <c r="A1100" s="4" t="str">
        <f>"26.129/001/2025"</f>
        <v>26.129/001/2025</v>
      </c>
      <c r="B1100" s="4" t="str">
        <f>"Workshop: Urlaubsübergaben sinnvoll planen - damit kein Schreibtisch überläuft! So sorgen wir für eine entspannte Auszeit - online"</f>
        <v>Workshop: Urlaubsübergaben sinnvoll planen - damit kein Schreibtisch überläuft! So sorgen wir für eine entspannte Auszeit - online</v>
      </c>
      <c r="C1100" s="5">
        <v>45821</v>
      </c>
      <c r="D1100" s="5">
        <v>45821</v>
      </c>
      <c r="E1100" s="4" t="str">
        <f>"0,5 Tage"</f>
        <v>0,5 Tage</v>
      </c>
      <c r="F1100" s="17">
        <v>110</v>
      </c>
      <c r="G1100" s="4" t="s">
        <v>17</v>
      </c>
      <c r="H1100" s="4" t="s">
        <v>11</v>
      </c>
    </row>
    <row r="1101" spans="1:8" x14ac:dyDescent="0.2">
      <c r="A1101" s="4" t="str">
        <f>"26.130/001/2025"</f>
        <v>26.130/001/2025</v>
      </c>
      <c r="B1101" s="4" t="str">
        <f>"Die E-Mail-Flut am Arbeitsplatz meistern - online"</f>
        <v>Die E-Mail-Flut am Arbeitsplatz meistern - online</v>
      </c>
      <c r="C1101" s="5">
        <v>45670</v>
      </c>
      <c r="D1101" s="5">
        <v>45671</v>
      </c>
      <c r="E1101" s="4" t="str">
        <f>"2 Tage"</f>
        <v>2 Tage</v>
      </c>
      <c r="F1101" s="17">
        <v>490</v>
      </c>
      <c r="G1101" s="4" t="s">
        <v>17</v>
      </c>
      <c r="H1101" s="4" t="s">
        <v>11</v>
      </c>
    </row>
    <row r="1102" spans="1:8" x14ac:dyDescent="0.2">
      <c r="A1102" s="4" t="str">
        <f>"26.130/002/2025"</f>
        <v>26.130/002/2025</v>
      </c>
      <c r="B1102" s="4" t="str">
        <f>"Die E-Mail-Flut am Arbeitsplatz meistern - online"</f>
        <v>Die E-Mail-Flut am Arbeitsplatz meistern - online</v>
      </c>
      <c r="C1102" s="5">
        <v>45964</v>
      </c>
      <c r="D1102" s="5">
        <v>45965</v>
      </c>
      <c r="E1102" s="4" t="str">
        <f>"2 Tage"</f>
        <v>2 Tage</v>
      </c>
      <c r="F1102" s="17">
        <v>330</v>
      </c>
      <c r="G1102" s="4" t="s">
        <v>17</v>
      </c>
      <c r="H1102" s="4" t="s">
        <v>11</v>
      </c>
    </row>
    <row r="1103" spans="1:8" x14ac:dyDescent="0.2">
      <c r="A1103" s="4" t="str">
        <f>"26.130/003/2025"</f>
        <v>26.130/003/2025</v>
      </c>
      <c r="B1103" s="4" t="str">
        <f>"Die E-Mail-Flut am Arbeitsplatz meistern - online"</f>
        <v>Die E-Mail-Flut am Arbeitsplatz meistern - online</v>
      </c>
      <c r="C1103" s="5">
        <v>46007</v>
      </c>
      <c r="D1103" s="5">
        <v>46008</v>
      </c>
      <c r="E1103" s="4" t="str">
        <f>"2 Tage"</f>
        <v>2 Tage</v>
      </c>
      <c r="F1103" s="17">
        <v>490</v>
      </c>
      <c r="G1103" s="4" t="s">
        <v>17</v>
      </c>
      <c r="H1103" s="4" t="s">
        <v>11</v>
      </c>
    </row>
    <row r="1104" spans="1:8" x14ac:dyDescent="0.2">
      <c r="A1104" s="4" t="str">
        <f>"26.145/001/2025"</f>
        <v>26.145/001/2025</v>
      </c>
      <c r="B1104" s="4" t="str">
        <f>"Sekretariatsmanagement - online"</f>
        <v>Sekretariatsmanagement - online</v>
      </c>
      <c r="C1104" s="5">
        <v>45943</v>
      </c>
      <c r="D1104" s="5">
        <v>45945</v>
      </c>
      <c r="E1104" s="4" t="str">
        <f>"3 Tage"</f>
        <v>3 Tage</v>
      </c>
      <c r="F1104" s="17">
        <v>490</v>
      </c>
      <c r="G1104" s="4" t="s">
        <v>14</v>
      </c>
      <c r="H1104" s="4" t="s">
        <v>11</v>
      </c>
    </row>
    <row r="1105" spans="1:8" x14ac:dyDescent="0.2">
      <c r="A1105" s="4" t="str">
        <f>"26.150/001/2025"</f>
        <v>26.150/001/2025</v>
      </c>
      <c r="B1105" s="4" t="str">
        <f>"Werkstatt-  Innovative digitale Tools im Sekretariat - Möglichkeiten und Grenzen von KI - online"</f>
        <v>Werkstatt-  Innovative digitale Tools im Sekretariat - Möglichkeiten und Grenzen von KI - online</v>
      </c>
      <c r="C1105" s="5">
        <v>45898</v>
      </c>
      <c r="D1105" s="5">
        <v>45926</v>
      </c>
      <c r="E1105" s="4" t="str">
        <f>"2x1 Tag"</f>
        <v>2x1 Tag</v>
      </c>
      <c r="F1105" s="17">
        <v>350</v>
      </c>
      <c r="G1105" s="4"/>
      <c r="H1105" s="4" t="s">
        <v>11</v>
      </c>
    </row>
    <row r="1106" spans="1:8" x14ac:dyDescent="0.2">
      <c r="A1106" s="4" t="str">
        <f>"26.150/001 a/2025"</f>
        <v>26.150/001 a/2025</v>
      </c>
      <c r="B1106" s="4" t="str">
        <f>"Werkstatt: Assistenz 4.0 - von der Sekretärin zur New-Work-Assistenz - online"</f>
        <v>Werkstatt: Assistenz 4.0 - von der Sekretärin zur New-Work-Assistenz - online</v>
      </c>
      <c r="C1106" s="5">
        <v>45898</v>
      </c>
      <c r="D1106" s="5">
        <v>45898</v>
      </c>
      <c r="E1106" s="4"/>
      <c r="F1106" s="17"/>
      <c r="G1106" s="4" t="s">
        <v>17</v>
      </c>
      <c r="H1106" s="4" t="s">
        <v>11</v>
      </c>
    </row>
    <row r="1107" spans="1:8" x14ac:dyDescent="0.2">
      <c r="A1107" s="4" t="str">
        <f>"26.150/001 b/2025"</f>
        <v>26.150/001 b/2025</v>
      </c>
      <c r="B1107" s="4" t="str">
        <f>"Werkstatt: Assistenz 4.0 - von der Sekretärin zur New-Work-Assistenz - online"</f>
        <v>Werkstatt: Assistenz 4.0 - von der Sekretärin zur New-Work-Assistenz - online</v>
      </c>
      <c r="C1107" s="5">
        <v>45926</v>
      </c>
      <c r="D1107" s="5">
        <v>45926</v>
      </c>
      <c r="E1107" s="4"/>
      <c r="F1107" s="17"/>
      <c r="G1107" s="4" t="s">
        <v>17</v>
      </c>
      <c r="H1107" s="4" t="s">
        <v>11</v>
      </c>
    </row>
    <row r="1108" spans="1:8" x14ac:dyDescent="0.2">
      <c r="A1108" s="4" t="str">
        <f>"26.245/001/2025"</f>
        <v>26.245/001/2025</v>
      </c>
      <c r="B1108" s="4" t="str">
        <f>"Digitale Meetings effizient und zielorientiert leiten - online"</f>
        <v>Digitale Meetings effizient und zielorientiert leiten - online</v>
      </c>
      <c r="C1108" s="5">
        <v>45959</v>
      </c>
      <c r="D1108" s="5">
        <v>45960</v>
      </c>
      <c r="E1108" s="4" t="str">
        <f>"2 Tage"</f>
        <v>2 Tage</v>
      </c>
      <c r="F1108" s="17">
        <v>330</v>
      </c>
      <c r="G1108" s="4" t="s">
        <v>17</v>
      </c>
      <c r="H1108" s="4" t="s">
        <v>11</v>
      </c>
    </row>
    <row r="1109" spans="1:8" x14ac:dyDescent="0.2">
      <c r="A1109" s="4" t="str">
        <f>"26.255/001/2025"</f>
        <v>26.255/001/2025</v>
      </c>
      <c r="B1109" s="4" t="str">
        <f>"Agile Moderationstechniken- ein Werkzeugkasten voll neuer Ideen"</f>
        <v>Agile Moderationstechniken- ein Werkzeugkasten voll neuer Ideen</v>
      </c>
      <c r="C1109" s="5">
        <v>45950</v>
      </c>
      <c r="D1109" s="5">
        <v>45950</v>
      </c>
      <c r="E1109" s="4" t="str">
        <f>"1 Tag"</f>
        <v>1 Tag</v>
      </c>
      <c r="F1109" s="17">
        <v>220</v>
      </c>
      <c r="G1109" s="4" t="s">
        <v>17</v>
      </c>
      <c r="H1109" s="4" t="s">
        <v>11</v>
      </c>
    </row>
    <row r="1110" spans="1:8" x14ac:dyDescent="0.2">
      <c r="A1110" s="4" t="str">
        <f>"26.258/001/2025"</f>
        <v>26.258/001/2025</v>
      </c>
      <c r="B1110" s="4" t="str">
        <f>"Moderation virtueller und teilvirtueller Besprechungen - online"</f>
        <v>Moderation virtueller und teilvirtueller Besprechungen - online</v>
      </c>
      <c r="C1110" s="5">
        <v>45995</v>
      </c>
      <c r="D1110" s="5">
        <v>45996</v>
      </c>
      <c r="E1110" s="4" t="str">
        <f>"1,5 Tage"</f>
        <v>1,5 Tage</v>
      </c>
      <c r="F1110" s="17">
        <v>440</v>
      </c>
      <c r="G1110" s="4" t="s">
        <v>17</v>
      </c>
      <c r="H1110" s="4" t="s">
        <v>11</v>
      </c>
    </row>
    <row r="1111" spans="1:8" x14ac:dyDescent="0.2">
      <c r="A1111" s="4" t="str">
        <f>"26.315/001/2025"</f>
        <v>26.315/001/2025</v>
      </c>
      <c r="B1111" s="4" t="str">
        <f>"Konzepterstellung und Präsentation -  von einem leeren Blatt Papier zu einem überzeugenden Konzept - online"</f>
        <v>Konzepterstellung und Präsentation -  von einem leeren Blatt Papier zu einem überzeugenden Konzept - online</v>
      </c>
      <c r="C1111" s="5">
        <v>45974</v>
      </c>
      <c r="D1111" s="5">
        <v>45975</v>
      </c>
      <c r="E1111" s="4" t="str">
        <f t="shared" ref="E1111:E1116" si="44">"2 Tage"</f>
        <v>2 Tage</v>
      </c>
      <c r="F1111" s="17">
        <v>330</v>
      </c>
      <c r="G1111" s="4" t="s">
        <v>17</v>
      </c>
      <c r="H1111" s="4" t="s">
        <v>11</v>
      </c>
    </row>
    <row r="1112" spans="1:8" x14ac:dyDescent="0.2">
      <c r="A1112" s="4" t="str">
        <f>"26.330/001/2025"</f>
        <v>26.330/001/2025</v>
      </c>
      <c r="B1112" s="4" t="str">
        <f>"Ergebnissicherung durch Protokollführung- online"</f>
        <v>Ergebnissicherung durch Protokollführung- online</v>
      </c>
      <c r="C1112" s="5">
        <v>45677</v>
      </c>
      <c r="D1112" s="5">
        <v>45678</v>
      </c>
      <c r="E1112" s="4" t="str">
        <f t="shared" si="44"/>
        <v>2 Tage</v>
      </c>
      <c r="F1112" s="17">
        <v>330</v>
      </c>
      <c r="G1112" s="4" t="s">
        <v>17</v>
      </c>
      <c r="H1112" s="4" t="s">
        <v>11</v>
      </c>
    </row>
    <row r="1113" spans="1:8" x14ac:dyDescent="0.2">
      <c r="A1113" s="4" t="str">
        <f>"26.330/002/2025"</f>
        <v>26.330/002/2025</v>
      </c>
      <c r="B1113" s="4" t="str">
        <f>"Ergebnissicherung durch Protokollführung- online"</f>
        <v>Ergebnissicherung durch Protokollführung- online</v>
      </c>
      <c r="C1113" s="5">
        <v>45848</v>
      </c>
      <c r="D1113" s="5">
        <v>45849</v>
      </c>
      <c r="E1113" s="4" t="str">
        <f t="shared" si="44"/>
        <v>2 Tage</v>
      </c>
      <c r="F1113" s="17">
        <v>330</v>
      </c>
      <c r="G1113" s="4" t="s">
        <v>17</v>
      </c>
      <c r="H1113" s="4" t="s">
        <v>11</v>
      </c>
    </row>
    <row r="1114" spans="1:8" x14ac:dyDescent="0.2">
      <c r="A1114" s="4" t="str">
        <f>"26.410/001/2025"</f>
        <v>26.410/001/2025</v>
      </c>
      <c r="B1114" s="4" t="str">
        <f>"Gedächtnistraining: Leichter merken, schneller speichern, länger behalten - online"</f>
        <v>Gedächtnistraining: Leichter merken, schneller speichern, länger behalten - online</v>
      </c>
      <c r="C1114" s="5">
        <v>45664</v>
      </c>
      <c r="D1114" s="5">
        <v>45665</v>
      </c>
      <c r="E1114" s="4" t="str">
        <f t="shared" si="44"/>
        <v>2 Tage</v>
      </c>
      <c r="F1114" s="17">
        <v>330</v>
      </c>
      <c r="G1114" s="4" t="s">
        <v>17</v>
      </c>
      <c r="H1114" s="4" t="s">
        <v>11</v>
      </c>
    </row>
    <row r="1115" spans="1:8" x14ac:dyDescent="0.2">
      <c r="A1115" s="4" t="str">
        <f>"26.410/002/2025"</f>
        <v>26.410/002/2025</v>
      </c>
      <c r="B1115" s="4" t="str">
        <f>"Gedächtnistraining: Leichter merken, schneller speichern, länger behalten - online"</f>
        <v>Gedächtnistraining: Leichter merken, schneller speichern, länger behalten - online</v>
      </c>
      <c r="C1115" s="5">
        <v>45792</v>
      </c>
      <c r="D1115" s="5">
        <v>45793</v>
      </c>
      <c r="E1115" s="4" t="str">
        <f t="shared" si="44"/>
        <v>2 Tage</v>
      </c>
      <c r="F1115" s="17">
        <v>330</v>
      </c>
      <c r="G1115" s="4" t="s">
        <v>17</v>
      </c>
      <c r="H1115" s="4" t="s">
        <v>11</v>
      </c>
    </row>
    <row r="1116" spans="1:8" x14ac:dyDescent="0.2">
      <c r="A1116" s="4" t="str">
        <f>"26.420/001/2025"</f>
        <v>26.420/001/2025</v>
      </c>
      <c r="B1116" s="4" t="str">
        <f>"Basis-Seminar Lerntechniken: Fitness im Kopf - online"</f>
        <v>Basis-Seminar Lerntechniken: Fitness im Kopf - online</v>
      </c>
      <c r="C1116" s="5">
        <v>45832</v>
      </c>
      <c r="D1116" s="5">
        <v>45833</v>
      </c>
      <c r="E1116" s="4" t="str">
        <f t="shared" si="44"/>
        <v>2 Tage</v>
      </c>
      <c r="F1116" s="17">
        <v>330</v>
      </c>
      <c r="G1116" s="4" t="s">
        <v>17</v>
      </c>
      <c r="H1116" s="4" t="s">
        <v>11</v>
      </c>
    </row>
    <row r="1117" spans="1:8" x14ac:dyDescent="0.2">
      <c r="A1117" s="4" t="str">
        <f>"26.431/001/2025"</f>
        <v>26.431/001/2025</v>
      </c>
      <c r="B1117" s="4" t="str">
        <f>"Schnell lesen - schneller durch den Textdschungel - kompakt - online"</f>
        <v>Schnell lesen - schneller durch den Textdschungel - kompakt - online</v>
      </c>
      <c r="C1117" s="5">
        <v>45734</v>
      </c>
      <c r="D1117" s="5">
        <v>45734</v>
      </c>
      <c r="E1117" s="4" t="str">
        <f>"1 Tag"</f>
        <v>1 Tag</v>
      </c>
      <c r="F1117" s="17">
        <v>170</v>
      </c>
      <c r="G1117" s="4" t="s">
        <v>17</v>
      </c>
      <c r="H1117" s="4" t="s">
        <v>11</v>
      </c>
    </row>
    <row r="1118" spans="1:8" x14ac:dyDescent="0.2">
      <c r="A1118" s="4" t="str">
        <f>"26.431/002/2025"</f>
        <v>26.431/002/2025</v>
      </c>
      <c r="B1118" s="4" t="str">
        <f>"Schnell lesen - schneller durch den Textdschungel - kompakt - online"</f>
        <v>Schnell lesen - schneller durch den Textdschungel - kompakt - online</v>
      </c>
      <c r="C1118" s="5">
        <v>45980</v>
      </c>
      <c r="D1118" s="5">
        <v>45980</v>
      </c>
      <c r="E1118" s="4" t="str">
        <f>"1 Tag"</f>
        <v>1 Tag</v>
      </c>
      <c r="F1118" s="17">
        <v>170</v>
      </c>
      <c r="G1118" s="4" t="s">
        <v>17</v>
      </c>
      <c r="H1118" s="4" t="s">
        <v>11</v>
      </c>
    </row>
    <row r="1119" spans="1:8" x14ac:dyDescent="0.2">
      <c r="A1119" s="4" t="str">
        <f>"26.450/001/2025"</f>
        <v>26.450/001/2025</v>
      </c>
      <c r="B1119" s="4" t="str">
        <f>"Mentale Fitness - Wissen gezielt abrufen - online"</f>
        <v>Mentale Fitness - Wissen gezielt abrufen - online</v>
      </c>
      <c r="C1119" s="5">
        <v>45824</v>
      </c>
      <c r="D1119" s="5">
        <v>45825</v>
      </c>
      <c r="E1119" s="4" t="str">
        <f>"2 Tage"</f>
        <v>2 Tage</v>
      </c>
      <c r="F1119" s="17">
        <v>330</v>
      </c>
      <c r="G1119" s="4" t="s">
        <v>17</v>
      </c>
      <c r="H1119" s="4" t="s">
        <v>11</v>
      </c>
    </row>
    <row r="1120" spans="1:8" x14ac:dyDescent="0.2">
      <c r="A1120" s="4" t="str">
        <f>"26.455/001/2025"</f>
        <v>26.455/001/2025</v>
      </c>
      <c r="B1120" s="4" t="str">
        <f>"Sketch Noting- Gedankenskizzen durch Visualisierung"</f>
        <v>Sketch Noting- Gedankenskizzen durch Visualisierung</v>
      </c>
      <c r="C1120" s="5">
        <v>45716</v>
      </c>
      <c r="D1120" s="5">
        <v>45716</v>
      </c>
      <c r="E1120" s="4" t="str">
        <f>"1 Tag"</f>
        <v>1 Tag</v>
      </c>
      <c r="F1120" s="17">
        <v>170</v>
      </c>
      <c r="G1120" s="4" t="s">
        <v>17</v>
      </c>
      <c r="H1120" s="4" t="s">
        <v>11</v>
      </c>
    </row>
    <row r="1121" spans="1:8" x14ac:dyDescent="0.2">
      <c r="A1121" s="4" t="str">
        <f>"26.560/001/2025"</f>
        <v>26.560/001/2025</v>
      </c>
      <c r="B1121" s="4" t="str">
        <f>"Ausbilden am Arbeitsplatz - online"</f>
        <v>Ausbilden am Arbeitsplatz - online</v>
      </c>
      <c r="C1121" s="5">
        <v>45894</v>
      </c>
      <c r="D1121" s="5">
        <v>45917</v>
      </c>
      <c r="E1121" s="4" t="str">
        <f>"2x2 Tage"</f>
        <v>2x2 Tage</v>
      </c>
      <c r="F1121" s="17">
        <v>660</v>
      </c>
      <c r="G1121" s="4"/>
      <c r="H1121" s="4" t="s">
        <v>11</v>
      </c>
    </row>
    <row r="1122" spans="1:8" x14ac:dyDescent="0.2">
      <c r="A1122" s="4" t="str">
        <f>"26.560/001 a/2025"</f>
        <v>26.560/001 a/2025</v>
      </c>
      <c r="B1122" s="4" t="str">
        <f>"Ausbilden am Arbeitsplatz - online"</f>
        <v>Ausbilden am Arbeitsplatz - online</v>
      </c>
      <c r="C1122" s="5">
        <v>45894</v>
      </c>
      <c r="D1122" s="5">
        <v>45895</v>
      </c>
      <c r="E1122" s="4"/>
      <c r="F1122" s="17"/>
      <c r="G1122" s="4" t="s">
        <v>17</v>
      </c>
      <c r="H1122" s="4" t="s">
        <v>11</v>
      </c>
    </row>
    <row r="1123" spans="1:8" x14ac:dyDescent="0.2">
      <c r="A1123" s="4" t="str">
        <f>"26.560/001 b/2025"</f>
        <v>26.560/001 b/2025</v>
      </c>
      <c r="B1123" s="4" t="str">
        <f>"Ausbilden am Arbeitsplatz - online"</f>
        <v>Ausbilden am Arbeitsplatz - online</v>
      </c>
      <c r="C1123" s="5">
        <v>45916</v>
      </c>
      <c r="D1123" s="5">
        <v>45917</v>
      </c>
      <c r="E1123" s="4"/>
      <c r="F1123" s="17"/>
      <c r="G1123" s="4" t="s">
        <v>17</v>
      </c>
      <c r="H1123" s="4" t="s">
        <v>11</v>
      </c>
    </row>
    <row r="1124" spans="1:8" x14ac:dyDescent="0.2">
      <c r="A1124" s="4" t="str">
        <f>"26.570/001/2025"</f>
        <v>26.570/001/2025</v>
      </c>
      <c r="B1124" s="4" t="str">
        <f>"Bachelor-Prüfungen vorbereiten, durchführen und bewerten - online"</f>
        <v>Bachelor-Prüfungen vorbereiten, durchführen und bewerten - online</v>
      </c>
      <c r="C1124" s="5">
        <v>45796</v>
      </c>
      <c r="D1124" s="5">
        <v>45797</v>
      </c>
      <c r="E1124" s="4" t="str">
        <f>"2 Tage"</f>
        <v>2 Tage</v>
      </c>
      <c r="F1124" s="17">
        <v>330</v>
      </c>
      <c r="G1124" s="4" t="s">
        <v>17</v>
      </c>
      <c r="H1124" s="4" t="s">
        <v>11</v>
      </c>
    </row>
    <row r="1125" spans="1:8" x14ac:dyDescent="0.2">
      <c r="A1125" s="4" t="str">
        <f>"27.130/001/2025"</f>
        <v>27.130/001/2025</v>
      </c>
      <c r="B1125" s="4" t="str">
        <f>"Personalmarketing und Employer Branding im öffentlichen Dienst - online"</f>
        <v>Personalmarketing und Employer Branding im öffentlichen Dienst - online</v>
      </c>
      <c r="C1125" s="5">
        <v>45981</v>
      </c>
      <c r="D1125" s="5">
        <v>45982</v>
      </c>
      <c r="E1125" s="4" t="str">
        <f>"2 Tage"</f>
        <v>2 Tage</v>
      </c>
      <c r="F1125" s="17">
        <v>330</v>
      </c>
      <c r="G1125" s="4" t="s">
        <v>17</v>
      </c>
      <c r="H1125" s="4" t="s">
        <v>11</v>
      </c>
    </row>
    <row r="1126" spans="1:8" x14ac:dyDescent="0.2">
      <c r="A1126" s="4" t="str">
        <f>"27.145/001/2025"</f>
        <v>27.145/001/2025</v>
      </c>
      <c r="B1126" s="4" t="str">
        <f>"Mitarbeiterbindung - Gute Mitarbeiter halten und motivieren - online"</f>
        <v>Mitarbeiterbindung - Gute Mitarbeiter halten und motivieren - online</v>
      </c>
      <c r="C1126" s="5">
        <v>45740</v>
      </c>
      <c r="D1126" s="5">
        <v>45741</v>
      </c>
      <c r="E1126" s="4" t="str">
        <f>"2 Tage"</f>
        <v>2 Tage</v>
      </c>
      <c r="F1126" s="17">
        <v>330</v>
      </c>
      <c r="G1126" s="4" t="s">
        <v>17</v>
      </c>
      <c r="H1126" s="4" t="s">
        <v>11</v>
      </c>
    </row>
    <row r="1127" spans="1:8" x14ac:dyDescent="0.2">
      <c r="A1127" s="4" t="str">
        <f>"27.180/001/2025"</f>
        <v>27.180/001/2025</v>
      </c>
      <c r="B1127" s="4" t="str">
        <f>"Mentoring - Von der Idee bis zur Umsetzung - online"</f>
        <v>Mentoring - Von der Idee bis zur Umsetzung - online</v>
      </c>
      <c r="C1127" s="5">
        <v>45707</v>
      </c>
      <c r="D1127" s="5">
        <v>45708</v>
      </c>
      <c r="E1127" s="4"/>
      <c r="F1127" s="17">
        <v>330</v>
      </c>
      <c r="G1127" s="4" t="s">
        <v>17</v>
      </c>
      <c r="H1127" s="4" t="s">
        <v>11</v>
      </c>
    </row>
    <row r="1128" spans="1:8" x14ac:dyDescent="0.2">
      <c r="A1128" s="4" t="str">
        <f>"27.230/001/2025"</f>
        <v>27.230/001/2025</v>
      </c>
      <c r="B1128" s="4" t="str">
        <f>"Personalauswahl - Beobachtertraining - online"</f>
        <v>Personalauswahl - Beobachtertraining - online</v>
      </c>
      <c r="C1128" s="5">
        <v>45985</v>
      </c>
      <c r="D1128" s="5">
        <v>45986</v>
      </c>
      <c r="E1128" s="4" t="str">
        <f t="shared" ref="E1128:E1137" si="45">"2 Tage"</f>
        <v>2 Tage</v>
      </c>
      <c r="F1128" s="17">
        <v>330</v>
      </c>
      <c r="G1128" s="4" t="s">
        <v>17</v>
      </c>
      <c r="H1128" s="4" t="s">
        <v>11</v>
      </c>
    </row>
    <row r="1129" spans="1:8" x14ac:dyDescent="0.2">
      <c r="A1129" s="4" t="str">
        <f>"28.112/001/2025"</f>
        <v>28.112/001/2025</v>
      </c>
      <c r="B1129" s="4" t="str">
        <f>"Beamtenrecht - Vertiefung - online"</f>
        <v>Beamtenrecht - Vertiefung - online</v>
      </c>
      <c r="C1129" s="5">
        <v>45701</v>
      </c>
      <c r="D1129" s="5">
        <v>45702</v>
      </c>
      <c r="E1129" s="4" t="str">
        <f t="shared" si="45"/>
        <v>2 Tage</v>
      </c>
      <c r="F1129" s="17">
        <v>310</v>
      </c>
      <c r="G1129" s="4" t="s">
        <v>14</v>
      </c>
      <c r="H1129" s="4" t="s">
        <v>11</v>
      </c>
    </row>
    <row r="1130" spans="1:8" x14ac:dyDescent="0.2">
      <c r="A1130" s="4" t="str">
        <f>"28.112/002/2025"</f>
        <v>28.112/002/2025</v>
      </c>
      <c r="B1130" s="4" t="str">
        <f>"Beamtenrecht - Vertiefung - online"</f>
        <v>Beamtenrecht - Vertiefung - online</v>
      </c>
      <c r="C1130" s="5">
        <v>45771</v>
      </c>
      <c r="D1130" s="5">
        <v>45772</v>
      </c>
      <c r="E1130" s="4" t="str">
        <f t="shared" si="45"/>
        <v>2 Tage</v>
      </c>
      <c r="F1130" s="17">
        <v>310</v>
      </c>
      <c r="G1130" s="4" t="s">
        <v>14</v>
      </c>
      <c r="H1130" s="4" t="s">
        <v>11</v>
      </c>
    </row>
    <row r="1131" spans="1:8" x14ac:dyDescent="0.2">
      <c r="A1131" s="4" t="str">
        <f>"28.112/003/2025"</f>
        <v>28.112/003/2025</v>
      </c>
      <c r="B1131" s="4" t="str">
        <f>"Beamtenrecht - Vertiefung - online"</f>
        <v>Beamtenrecht - Vertiefung - online</v>
      </c>
      <c r="C1131" s="5">
        <v>45967</v>
      </c>
      <c r="D1131" s="5">
        <v>45968</v>
      </c>
      <c r="E1131" s="4" t="str">
        <f t="shared" si="45"/>
        <v>2 Tage</v>
      </c>
      <c r="F1131" s="17">
        <v>310</v>
      </c>
      <c r="G1131" s="4" t="s">
        <v>14</v>
      </c>
      <c r="H1131" s="4" t="s">
        <v>11</v>
      </c>
    </row>
    <row r="1132" spans="1:8" x14ac:dyDescent="0.2">
      <c r="A1132" s="4" t="str">
        <f>"28.114/001/2025"</f>
        <v>28.114/001/2025</v>
      </c>
      <c r="B1132" s="4" t="str">
        <f>"Beamtenrecht - Update - online"</f>
        <v>Beamtenrecht - Update - online</v>
      </c>
      <c r="C1132" s="5">
        <v>45743</v>
      </c>
      <c r="D1132" s="5">
        <v>45744</v>
      </c>
      <c r="E1132" s="4" t="str">
        <f t="shared" si="45"/>
        <v>2 Tage</v>
      </c>
      <c r="F1132" s="17">
        <v>310</v>
      </c>
      <c r="G1132" s="4" t="s">
        <v>14</v>
      </c>
      <c r="H1132" s="4" t="s">
        <v>11</v>
      </c>
    </row>
    <row r="1133" spans="1:8" x14ac:dyDescent="0.2">
      <c r="A1133" s="4" t="str">
        <f>"28.114/002/2025"</f>
        <v>28.114/002/2025</v>
      </c>
      <c r="B1133" s="4" t="str">
        <f>"Beamtenrecht - Update - online"</f>
        <v>Beamtenrecht - Update - online</v>
      </c>
      <c r="C1133" s="5">
        <v>45834</v>
      </c>
      <c r="D1133" s="5">
        <v>45835</v>
      </c>
      <c r="E1133" s="4" t="str">
        <f t="shared" si="45"/>
        <v>2 Tage</v>
      </c>
      <c r="F1133" s="17">
        <v>310</v>
      </c>
      <c r="G1133" s="4" t="s">
        <v>14</v>
      </c>
      <c r="H1133" s="4" t="s">
        <v>11</v>
      </c>
    </row>
    <row r="1134" spans="1:8" x14ac:dyDescent="0.2">
      <c r="A1134" s="4" t="str">
        <f>"28.114/003/2025"</f>
        <v>28.114/003/2025</v>
      </c>
      <c r="B1134" s="4" t="str">
        <f>"Beamtenrecht - Update - online"</f>
        <v>Beamtenrecht - Update - online</v>
      </c>
      <c r="C1134" s="5">
        <v>45931</v>
      </c>
      <c r="D1134" s="5">
        <v>45932</v>
      </c>
      <c r="E1134" s="4" t="str">
        <f t="shared" si="45"/>
        <v>2 Tage</v>
      </c>
      <c r="F1134" s="17">
        <v>310</v>
      </c>
      <c r="G1134" s="4" t="s">
        <v>14</v>
      </c>
      <c r="H1134" s="4" t="s">
        <v>11</v>
      </c>
    </row>
    <row r="1135" spans="1:8" x14ac:dyDescent="0.2">
      <c r="A1135" s="4" t="str">
        <f>"28.140/001/2025"</f>
        <v>28.140/001/2025</v>
      </c>
      <c r="B1135" s="4" t="str">
        <f>"Dienstunfallrecht - Grundlagen - online"</f>
        <v>Dienstunfallrecht - Grundlagen - online</v>
      </c>
      <c r="C1135" s="5">
        <v>45715</v>
      </c>
      <c r="D1135" s="5">
        <v>45716</v>
      </c>
      <c r="E1135" s="4" t="str">
        <f t="shared" si="45"/>
        <v>2 Tage</v>
      </c>
      <c r="F1135" s="17">
        <v>310</v>
      </c>
      <c r="G1135" s="4" t="s">
        <v>14</v>
      </c>
      <c r="H1135" s="4" t="s">
        <v>11</v>
      </c>
    </row>
    <row r="1136" spans="1:8" x14ac:dyDescent="0.2">
      <c r="A1136" s="4" t="str">
        <f>"28.140/002/2025"</f>
        <v>28.140/002/2025</v>
      </c>
      <c r="B1136" s="4" t="str">
        <f>"Dienstunfallrecht - Grundlagen - online"</f>
        <v>Dienstunfallrecht - Grundlagen - online</v>
      </c>
      <c r="C1136" s="5">
        <v>45960</v>
      </c>
      <c r="D1136" s="5">
        <v>45961</v>
      </c>
      <c r="E1136" s="4" t="str">
        <f t="shared" si="45"/>
        <v>2 Tage</v>
      </c>
      <c r="F1136" s="17">
        <v>310</v>
      </c>
      <c r="G1136" s="4" t="s">
        <v>14</v>
      </c>
      <c r="H1136" s="4" t="s">
        <v>11</v>
      </c>
    </row>
    <row r="1137" spans="1:8" x14ac:dyDescent="0.2">
      <c r="A1137" s="4" t="str">
        <f>"28.214/001/2025"</f>
        <v>28.214/001/2025</v>
      </c>
      <c r="B1137" s="4" t="str">
        <f>"Das Allgemeine Gleichbehandlungsgesetz (AGG) - Einführung - online"</f>
        <v>Das Allgemeine Gleichbehandlungsgesetz (AGG) - Einführung - online</v>
      </c>
      <c r="C1137" s="5">
        <v>45804</v>
      </c>
      <c r="D1137" s="5">
        <v>45805</v>
      </c>
      <c r="E1137" s="4" t="str">
        <f t="shared" si="45"/>
        <v>2 Tage</v>
      </c>
      <c r="F1137" s="17">
        <v>330</v>
      </c>
      <c r="G1137" s="4" t="s">
        <v>14</v>
      </c>
      <c r="H1137" s="4" t="s">
        <v>11</v>
      </c>
    </row>
    <row r="1138" spans="1:8" x14ac:dyDescent="0.2">
      <c r="A1138" s="4" t="str">
        <f>"28.310/001/2025"</f>
        <v>28.310/001/2025</v>
      </c>
      <c r="B1138" s="4" t="str">
        <f>"Grundlagen des Personalwesens - online"</f>
        <v>Grundlagen des Personalwesens - online</v>
      </c>
      <c r="C1138" s="5">
        <v>45677</v>
      </c>
      <c r="D1138" s="5">
        <v>45679</v>
      </c>
      <c r="E1138" s="4" t="str">
        <f>"3 Tage"</f>
        <v>3 Tage</v>
      </c>
      <c r="F1138" s="17">
        <v>490</v>
      </c>
      <c r="G1138" s="4" t="s">
        <v>18</v>
      </c>
      <c r="H1138" s="4" t="s">
        <v>11</v>
      </c>
    </row>
    <row r="1139" spans="1:8" x14ac:dyDescent="0.2">
      <c r="A1139" s="4" t="str">
        <f>"28.310/002/2025"</f>
        <v>28.310/002/2025</v>
      </c>
      <c r="B1139" s="4" t="str">
        <f>"Grundlagen des Personalwesens - online"</f>
        <v>Grundlagen des Personalwesens - online</v>
      </c>
      <c r="C1139" s="5">
        <v>45978</v>
      </c>
      <c r="D1139" s="5">
        <v>45980</v>
      </c>
      <c r="E1139" s="4" t="str">
        <f>"3 Tage"</f>
        <v>3 Tage</v>
      </c>
      <c r="F1139" s="17">
        <v>490</v>
      </c>
      <c r="G1139" s="4" t="s">
        <v>18</v>
      </c>
      <c r="H1139" s="4" t="s">
        <v>11</v>
      </c>
    </row>
    <row r="1140" spans="1:8" x14ac:dyDescent="0.2">
      <c r="A1140" s="4" t="str">
        <f>"28.314/001/2025"</f>
        <v>28.314/001/2025</v>
      </c>
      <c r="B1140" s="4" t="str">
        <f>"Personalaktenrecht und Personalaktenverwaltung - online"</f>
        <v>Personalaktenrecht und Personalaktenverwaltung - online</v>
      </c>
      <c r="C1140" s="5">
        <v>45748</v>
      </c>
      <c r="D1140" s="5">
        <v>45748</v>
      </c>
      <c r="E1140" s="4" t="str">
        <f>"1 Tag"</f>
        <v>1 Tag</v>
      </c>
      <c r="F1140" s="17">
        <v>140</v>
      </c>
      <c r="G1140" s="4" t="s">
        <v>14</v>
      </c>
      <c r="H1140" s="4" t="s">
        <v>11</v>
      </c>
    </row>
    <row r="1141" spans="1:8" x14ac:dyDescent="0.2">
      <c r="A1141" s="4" t="str">
        <f>"28.410/001/2025"</f>
        <v>28.410/001/2025</v>
      </c>
      <c r="B1141" s="4" t="str">
        <f>"Haushaltsrecht - Einführung - Kameralistik - online"</f>
        <v>Haushaltsrecht - Einführung - Kameralistik - online</v>
      </c>
      <c r="C1141" s="5">
        <v>45754</v>
      </c>
      <c r="D1141" s="5">
        <v>45755</v>
      </c>
      <c r="E1141" s="4" t="str">
        <f>"2 Tage"</f>
        <v>2 Tage</v>
      </c>
      <c r="F1141" s="17">
        <v>270</v>
      </c>
      <c r="G1141" s="4" t="s">
        <v>14</v>
      </c>
      <c r="H1141" s="4" t="s">
        <v>11</v>
      </c>
    </row>
    <row r="1142" spans="1:8" x14ac:dyDescent="0.2">
      <c r="A1142" s="4" t="str">
        <f>"28.410/002/2025"</f>
        <v>28.410/002/2025</v>
      </c>
      <c r="B1142" s="4" t="str">
        <f>"Haushaltsrecht - Einführung - Kameralistik - online"</f>
        <v>Haushaltsrecht - Einführung - Kameralistik - online</v>
      </c>
      <c r="C1142" s="5">
        <v>45992</v>
      </c>
      <c r="D1142" s="5">
        <v>45993</v>
      </c>
      <c r="E1142" s="4" t="str">
        <f>"2 Tage"</f>
        <v>2 Tage</v>
      </c>
      <c r="F1142" s="17">
        <v>270</v>
      </c>
      <c r="G1142" s="4" t="s">
        <v>14</v>
      </c>
      <c r="H1142" s="4" t="s">
        <v>11</v>
      </c>
    </row>
    <row r="1143" spans="1:8" x14ac:dyDescent="0.2">
      <c r="A1143" s="4" t="str">
        <f>"28.411/001/2025"</f>
        <v>28.411/001/2025</v>
      </c>
      <c r="B1143" s="4" t="str">
        <f>"Stellenplanbewirtschaftung - online"</f>
        <v>Stellenplanbewirtschaftung - online</v>
      </c>
      <c r="C1143" s="5">
        <v>45733</v>
      </c>
      <c r="D1143" s="5">
        <v>45733</v>
      </c>
      <c r="E1143" s="4" t="str">
        <f>"1 Tag"</f>
        <v>1 Tag</v>
      </c>
      <c r="F1143" s="17">
        <v>140</v>
      </c>
      <c r="G1143" s="4" t="s">
        <v>14</v>
      </c>
      <c r="H1143" s="4" t="s">
        <v>11</v>
      </c>
    </row>
    <row r="1144" spans="1:8" x14ac:dyDescent="0.2">
      <c r="A1144" s="4" t="str">
        <f>"28.416/001/2025"</f>
        <v>28.416/001/2025</v>
      </c>
      <c r="B1144" s="4" t="str">
        <f>"Der Wandel des Haushaltsrechts - von der Kameralistik zu EPOS.NRW - online"</f>
        <v>Der Wandel des Haushaltsrechts - von der Kameralistik zu EPOS.NRW - online</v>
      </c>
      <c r="C1144" s="5">
        <v>45740</v>
      </c>
      <c r="D1144" s="5">
        <v>45742</v>
      </c>
      <c r="E1144" s="4" t="str">
        <f>"3 Tage"</f>
        <v>3 Tage</v>
      </c>
      <c r="F1144" s="17">
        <v>490</v>
      </c>
      <c r="G1144" s="4" t="s">
        <v>18</v>
      </c>
      <c r="H1144" s="4" t="s">
        <v>11</v>
      </c>
    </row>
    <row r="1145" spans="1:8" x14ac:dyDescent="0.2">
      <c r="A1145" s="4" t="str">
        <f>"28.416/002/2025"</f>
        <v>28.416/002/2025</v>
      </c>
      <c r="B1145" s="4" t="str">
        <f>"Der Wandel des Haushaltsrechts - von der Kameralistik zu EPOS.NRW - online"</f>
        <v>Der Wandel des Haushaltsrechts - von der Kameralistik zu EPOS.NRW - online</v>
      </c>
      <c r="C1145" s="5">
        <v>45896</v>
      </c>
      <c r="D1145" s="5">
        <v>45898</v>
      </c>
      <c r="E1145" s="4" t="str">
        <f>"3 Tage"</f>
        <v>3 Tage</v>
      </c>
      <c r="F1145" s="17">
        <v>490</v>
      </c>
      <c r="G1145" s="4" t="s">
        <v>18</v>
      </c>
      <c r="H1145" s="4" t="s">
        <v>11</v>
      </c>
    </row>
    <row r="1146" spans="1:8" x14ac:dyDescent="0.2">
      <c r="A1146" s="4" t="str">
        <f>"28.416/003/2025"</f>
        <v>28.416/003/2025</v>
      </c>
      <c r="B1146" s="4" t="str">
        <f>"Der Wandel des Haushaltsrechts - von der Kameralistik zu EPOS.NRW - online"</f>
        <v>Der Wandel des Haushaltsrechts - von der Kameralistik zu EPOS.NRW - online</v>
      </c>
      <c r="C1146" s="5">
        <v>45999</v>
      </c>
      <c r="D1146" s="5">
        <v>46001</v>
      </c>
      <c r="E1146" s="4" t="str">
        <f>"3 Tage"</f>
        <v>3 Tage</v>
      </c>
      <c r="F1146" s="17">
        <v>490</v>
      </c>
      <c r="G1146" s="4" t="s">
        <v>18</v>
      </c>
      <c r="H1146" s="4" t="s">
        <v>11</v>
      </c>
    </row>
    <row r="1147" spans="1:8" x14ac:dyDescent="0.2">
      <c r="A1147" s="4" t="str">
        <f>"28.420/001/2025"</f>
        <v>28.420/001/2025</v>
      </c>
      <c r="B1147" s="4" t="str">
        <f>"Haushalts- und Rechnungswesen EPOS.NRW - Grundlagen - Online"</f>
        <v>Haushalts- und Rechnungswesen EPOS.NRW - Grundlagen - Online</v>
      </c>
      <c r="C1147" s="5">
        <v>45909</v>
      </c>
      <c r="D1147" s="5">
        <v>45910</v>
      </c>
      <c r="E1147" s="4" t="str">
        <f>"2 Tage"</f>
        <v>2 Tage</v>
      </c>
      <c r="F1147" s="17">
        <v>230</v>
      </c>
      <c r="G1147" s="4" t="s">
        <v>14</v>
      </c>
      <c r="H1147" s="4" t="s">
        <v>11</v>
      </c>
    </row>
    <row r="1148" spans="1:8" x14ac:dyDescent="0.2">
      <c r="A1148" s="4" t="str">
        <f>"28.611/001/2025"</f>
        <v>28.611/001/2025</v>
      </c>
      <c r="B1148" s="4" t="str">
        <f>"Verhandlungsvergabe von A-Z - online"</f>
        <v>Verhandlungsvergabe von A-Z - online</v>
      </c>
      <c r="C1148" s="5">
        <v>45680</v>
      </c>
      <c r="D1148" s="5">
        <v>45681</v>
      </c>
      <c r="E1148" s="4" t="str">
        <f>"2 Tage"</f>
        <v>2 Tage</v>
      </c>
      <c r="F1148" s="17">
        <v>270</v>
      </c>
      <c r="G1148" s="4" t="s">
        <v>14</v>
      </c>
      <c r="H1148" s="4" t="s">
        <v>11</v>
      </c>
    </row>
    <row r="1149" spans="1:8" x14ac:dyDescent="0.2">
      <c r="A1149" s="4" t="str">
        <f>"28.615/001/2025"</f>
        <v>28.615/001/2025</v>
      </c>
      <c r="B1149" s="4" t="str">
        <f>"Die Vergabeentscheidung - Eignung, Bewertung, Zuschlag - online "</f>
        <v xml:space="preserve">Die Vergabeentscheidung - Eignung, Bewertung, Zuschlag - online </v>
      </c>
      <c r="C1149" s="5">
        <v>45726</v>
      </c>
      <c r="D1149" s="5">
        <v>45727</v>
      </c>
      <c r="E1149" s="4" t="str">
        <f>"2 Tage"</f>
        <v>2 Tage</v>
      </c>
      <c r="F1149" s="17">
        <v>270</v>
      </c>
      <c r="G1149" s="4" t="s">
        <v>14</v>
      </c>
      <c r="H1149" s="4" t="s">
        <v>11</v>
      </c>
    </row>
    <row r="1150" spans="1:8" x14ac:dyDescent="0.2">
      <c r="A1150" s="4" t="str">
        <f>"28.640/001/2025"</f>
        <v>28.640/001/2025</v>
      </c>
      <c r="B1150" s="4" t="str">
        <f>"Vergaberechtliches Grundwissen für Bedarfsstellen im Unterschwellenbereich - online"</f>
        <v>Vergaberechtliches Grundwissen für Bedarfsstellen im Unterschwellenbereich - online</v>
      </c>
      <c r="C1150" s="5">
        <v>45674</v>
      </c>
      <c r="D1150" s="5">
        <v>45674</v>
      </c>
      <c r="E1150" s="4" t="str">
        <f>"1 Tag"</f>
        <v>1 Tag</v>
      </c>
      <c r="F1150" s="17">
        <v>140</v>
      </c>
      <c r="G1150" s="4" t="s">
        <v>14</v>
      </c>
      <c r="H1150" s="4" t="s">
        <v>11</v>
      </c>
    </row>
    <row r="1151" spans="1:8" x14ac:dyDescent="0.2">
      <c r="A1151" s="4" t="str">
        <f>"28.654/001/2025"</f>
        <v>28.654/001/2025</v>
      </c>
      <c r="B1151" s="4" t="str">
        <f>"Nachhaltige öffentliche Beschaffung - qualitative Aspekte in der Vergabeentscheidung - online "</f>
        <v xml:space="preserve">Nachhaltige öffentliche Beschaffung - qualitative Aspekte in der Vergabeentscheidung - online </v>
      </c>
      <c r="C1151" s="5">
        <v>45729</v>
      </c>
      <c r="D1151" s="5">
        <v>45730</v>
      </c>
      <c r="E1151" s="4" t="str">
        <f>"2 Tage"</f>
        <v>2 Tage</v>
      </c>
      <c r="F1151" s="17">
        <v>470</v>
      </c>
      <c r="G1151" s="4" t="s">
        <v>17</v>
      </c>
      <c r="H1151" s="4" t="s">
        <v>22</v>
      </c>
    </row>
    <row r="1152" spans="1:8" x14ac:dyDescent="0.2">
      <c r="A1152" s="4" t="str">
        <f>"28.710/001/2025"</f>
        <v>28.710/001/2025</v>
      </c>
      <c r="B1152" s="4" t="str">
        <f>"Rechtliche Grundlagen des Verwaltungshandelns - online"</f>
        <v>Rechtliche Grundlagen des Verwaltungshandelns - online</v>
      </c>
      <c r="C1152" s="5">
        <v>45670</v>
      </c>
      <c r="D1152" s="5">
        <v>45692</v>
      </c>
      <c r="E1152" s="4" t="str">
        <f>"2 x 2 Tage"</f>
        <v>2 x 2 Tage</v>
      </c>
      <c r="F1152" s="17">
        <v>540</v>
      </c>
      <c r="G1152" s="4"/>
      <c r="H1152" s="4" t="s">
        <v>11</v>
      </c>
    </row>
    <row r="1153" spans="1:8" x14ac:dyDescent="0.2">
      <c r="A1153" s="4" t="str">
        <f>"28.710/001 a/2025"</f>
        <v>28.710/001 a/2025</v>
      </c>
      <c r="B1153" s="4" t="str">
        <f>"Rechtliche Grundlagen des Verwaltungshandelns - online"</f>
        <v>Rechtliche Grundlagen des Verwaltungshandelns - online</v>
      </c>
      <c r="C1153" s="5">
        <v>45670</v>
      </c>
      <c r="D1153" s="5">
        <v>45671</v>
      </c>
      <c r="E1153" s="4"/>
      <c r="F1153" s="17"/>
      <c r="G1153" s="4" t="s">
        <v>14</v>
      </c>
      <c r="H1153" s="4" t="s">
        <v>11</v>
      </c>
    </row>
    <row r="1154" spans="1:8" x14ac:dyDescent="0.2">
      <c r="A1154" s="4" t="str">
        <f>"28.710/001 b/2025"</f>
        <v>28.710/001 b/2025</v>
      </c>
      <c r="B1154" s="4" t="str">
        <f>"Rechtliche Grundlagen des Verwaltungshandelns - online"</f>
        <v>Rechtliche Grundlagen des Verwaltungshandelns - online</v>
      </c>
      <c r="C1154" s="5">
        <v>45691</v>
      </c>
      <c r="D1154" s="5">
        <v>45692</v>
      </c>
      <c r="E1154" s="4"/>
      <c r="F1154" s="17"/>
      <c r="G1154" s="4" t="s">
        <v>14</v>
      </c>
      <c r="H1154" s="4" t="s">
        <v>11</v>
      </c>
    </row>
    <row r="1155" spans="1:8" x14ac:dyDescent="0.2">
      <c r="A1155" s="4" t="str">
        <f>"28.712/001/2025"</f>
        <v>28.712/001/2025</v>
      </c>
      <c r="B1155" s="4" t="str">
        <f>"Aufbau der Landesverwaltung NRW - online"</f>
        <v>Aufbau der Landesverwaltung NRW - online</v>
      </c>
      <c r="C1155" s="5">
        <v>45684</v>
      </c>
      <c r="D1155" s="5">
        <v>45684</v>
      </c>
      <c r="E1155" s="4" t="str">
        <f>"1 Tag "</f>
        <v xml:space="preserve">1 Tag </v>
      </c>
      <c r="F1155" s="17">
        <v>140</v>
      </c>
      <c r="G1155" s="4" t="s">
        <v>14</v>
      </c>
      <c r="H1155" s="4" t="s">
        <v>11</v>
      </c>
    </row>
    <row r="1156" spans="1:8" x14ac:dyDescent="0.2">
      <c r="A1156" s="4" t="str">
        <f>"28.716/001/2025"</f>
        <v>28.716/001/2025</v>
      </c>
      <c r="B1156" s="4" t="str">
        <f>"Grundlagen der Verwaltungsarbeit - neu in der Vorgangsbearbeitung - online"</f>
        <v>Grundlagen der Verwaltungsarbeit - neu in der Vorgangsbearbeitung - online</v>
      </c>
      <c r="C1156" s="5">
        <v>45715</v>
      </c>
      <c r="D1156" s="5">
        <v>45716</v>
      </c>
      <c r="E1156" s="4" t="str">
        <f t="shared" ref="E1156:E1164" si="46">"2 Tage"</f>
        <v>2 Tage</v>
      </c>
      <c r="F1156" s="17">
        <v>270</v>
      </c>
      <c r="G1156" s="4" t="s">
        <v>17</v>
      </c>
      <c r="H1156" s="4" t="s">
        <v>11</v>
      </c>
    </row>
    <row r="1157" spans="1:8" x14ac:dyDescent="0.2">
      <c r="A1157" s="4" t="str">
        <f>"28.718/002/2025"</f>
        <v>28.718/002/2025</v>
      </c>
      <c r="B1157" s="4" t="str">
        <f>"Grundlagen des Verwaltungshandelns und der Verwaltungsarbeit - online"</f>
        <v>Grundlagen des Verwaltungshandelns und der Verwaltungsarbeit - online</v>
      </c>
      <c r="C1157" s="5">
        <v>45757</v>
      </c>
      <c r="D1157" s="5">
        <v>45758</v>
      </c>
      <c r="E1157" s="4" t="str">
        <f t="shared" si="46"/>
        <v>2 Tage</v>
      </c>
      <c r="F1157" s="17">
        <v>270</v>
      </c>
      <c r="G1157" s="4" t="s">
        <v>14</v>
      </c>
      <c r="H1157" s="4" t="s">
        <v>11</v>
      </c>
    </row>
    <row r="1158" spans="1:8" x14ac:dyDescent="0.2">
      <c r="A1158" s="4" t="str">
        <f>"28.730/001/2025"</f>
        <v>28.730/001/2025</v>
      </c>
      <c r="B1158" s="4" t="str">
        <f>"Recht der Gefahrenabwehr - Grundlagen - kompakt - online"</f>
        <v>Recht der Gefahrenabwehr - Grundlagen - kompakt - online</v>
      </c>
      <c r="C1158" s="5">
        <v>45825</v>
      </c>
      <c r="D1158" s="5">
        <v>45826</v>
      </c>
      <c r="E1158" s="4" t="str">
        <f t="shared" si="46"/>
        <v>2 Tage</v>
      </c>
      <c r="F1158" s="17">
        <v>310</v>
      </c>
      <c r="G1158" s="4" t="s">
        <v>14</v>
      </c>
      <c r="H1158" s="4" t="s">
        <v>11</v>
      </c>
    </row>
    <row r="1159" spans="1:8" x14ac:dyDescent="0.2">
      <c r="A1159" s="4" t="str">
        <f>"28.730/002/2025"</f>
        <v>28.730/002/2025</v>
      </c>
      <c r="B1159" s="4" t="str">
        <f>"Recht der Gefahrenabwehr - Grundlagen - kompakt - online"</f>
        <v>Recht der Gefahrenabwehr - Grundlagen - kompakt - online</v>
      </c>
      <c r="C1159" s="5">
        <v>45925</v>
      </c>
      <c r="D1159" s="5">
        <v>45926</v>
      </c>
      <c r="E1159" s="4" t="str">
        <f t="shared" si="46"/>
        <v>2 Tage</v>
      </c>
      <c r="F1159" s="17">
        <v>310</v>
      </c>
      <c r="G1159" s="4" t="s">
        <v>14</v>
      </c>
      <c r="H1159" s="4" t="s">
        <v>11</v>
      </c>
    </row>
    <row r="1160" spans="1:8" x14ac:dyDescent="0.2">
      <c r="A1160" s="4" t="str">
        <f>"28.736/001/2025"</f>
        <v>28.736/001/2025</v>
      </c>
      <c r="B1160" s="4" t="str">
        <f>"Ordnungswidrigkeitenrecht - Vertiefung - online"</f>
        <v>Ordnungswidrigkeitenrecht - Vertiefung - online</v>
      </c>
      <c r="C1160" s="5">
        <v>45722</v>
      </c>
      <c r="D1160" s="5">
        <v>45723</v>
      </c>
      <c r="E1160" s="4" t="str">
        <f t="shared" si="46"/>
        <v>2 Tage</v>
      </c>
      <c r="F1160" s="17">
        <v>310</v>
      </c>
      <c r="G1160" s="4" t="s">
        <v>14</v>
      </c>
      <c r="H1160" s="4" t="s">
        <v>11</v>
      </c>
    </row>
    <row r="1161" spans="1:8" x14ac:dyDescent="0.2">
      <c r="A1161" s="4" t="str">
        <f>"28.736/002/2025"</f>
        <v>28.736/002/2025</v>
      </c>
      <c r="B1161" s="4" t="str">
        <f>"Ordnungswidrigkeitenrecht - Vertiefung - online"</f>
        <v>Ordnungswidrigkeitenrecht - Vertiefung - online</v>
      </c>
      <c r="C1161" s="5">
        <v>45981</v>
      </c>
      <c r="D1161" s="5">
        <v>45982</v>
      </c>
      <c r="E1161" s="4" t="str">
        <f t="shared" si="46"/>
        <v>2 Tage</v>
      </c>
      <c r="F1161" s="17">
        <v>310</v>
      </c>
      <c r="G1161" s="4" t="s">
        <v>14</v>
      </c>
      <c r="H1161" s="4" t="s">
        <v>11</v>
      </c>
    </row>
    <row r="1162" spans="1:8" x14ac:dyDescent="0.2">
      <c r="A1162" s="4" t="str">
        <f>"28.747/001/2025"</f>
        <v>28.747/001/2025</v>
      </c>
      <c r="B1162" s="4" t="str">
        <f>"Strafrecht im öffentlichen Dienst - Einführung - online"</f>
        <v>Strafrecht im öffentlichen Dienst - Einführung - online</v>
      </c>
      <c r="C1162" s="5">
        <v>45736</v>
      </c>
      <c r="D1162" s="5">
        <v>45737</v>
      </c>
      <c r="E1162" s="4" t="str">
        <f t="shared" si="46"/>
        <v>2 Tage</v>
      </c>
      <c r="F1162" s="17">
        <v>310</v>
      </c>
      <c r="G1162" s="4" t="s">
        <v>14</v>
      </c>
      <c r="H1162" s="4" t="s">
        <v>11</v>
      </c>
    </row>
    <row r="1163" spans="1:8" x14ac:dyDescent="0.2">
      <c r="A1163" s="4" t="str">
        <f>"28.747/002/2025"</f>
        <v>28.747/002/2025</v>
      </c>
      <c r="B1163" s="4" t="str">
        <f>"Strafrecht im öffentlichen Dienst - Einführung - online"</f>
        <v>Strafrecht im öffentlichen Dienst - Einführung - online</v>
      </c>
      <c r="C1163" s="5">
        <v>45988</v>
      </c>
      <c r="D1163" s="5">
        <v>45989</v>
      </c>
      <c r="E1163" s="4" t="str">
        <f t="shared" si="46"/>
        <v>2 Tage</v>
      </c>
      <c r="F1163" s="17">
        <v>310</v>
      </c>
      <c r="G1163" s="4" t="s">
        <v>14</v>
      </c>
      <c r="H1163" s="4" t="s">
        <v>11</v>
      </c>
    </row>
    <row r="1164" spans="1:8" x14ac:dyDescent="0.2">
      <c r="A1164" s="4" t="str">
        <f>"28.760/001/2025"</f>
        <v>28.760/001/2025</v>
      </c>
      <c r="B1164" s="4" t="str">
        <f>"Datenschutzrecht NRW - Grundlagen - online"</f>
        <v>Datenschutzrecht NRW - Grundlagen - online</v>
      </c>
      <c r="C1164" s="5">
        <v>45666</v>
      </c>
      <c r="D1164" s="5">
        <v>45667</v>
      </c>
      <c r="E1164" s="4" t="str">
        <f t="shared" si="46"/>
        <v>2 Tage</v>
      </c>
      <c r="F1164" s="17">
        <v>270</v>
      </c>
      <c r="G1164" s="4" t="s">
        <v>14</v>
      </c>
      <c r="H1164" s="4" t="s">
        <v>11</v>
      </c>
    </row>
    <row r="1165" spans="1:8" x14ac:dyDescent="0.2">
      <c r="A1165" s="4" t="str">
        <f>"28.762/001/2025"</f>
        <v>28.762/001/2025</v>
      </c>
      <c r="B1165" s="4" t="str">
        <f>"Informationsfreiheitsgesetz NRW (IFG) und Umweltinformationsgesetz (UIG) - online"</f>
        <v>Informationsfreiheitsgesetz NRW (IFG) und Umweltinformationsgesetz (UIG) - online</v>
      </c>
      <c r="C1165" s="5">
        <v>45712</v>
      </c>
      <c r="D1165" s="5">
        <v>45712</v>
      </c>
      <c r="E1165" s="4" t="str">
        <f>"1 Tag"</f>
        <v>1 Tag</v>
      </c>
      <c r="F1165" s="17">
        <v>140</v>
      </c>
      <c r="G1165" s="4" t="s">
        <v>14</v>
      </c>
      <c r="H1165" s="4" t="s">
        <v>11</v>
      </c>
    </row>
    <row r="1166" spans="1:8" x14ac:dyDescent="0.2">
      <c r="A1166" s="4" t="str">
        <f>"28.768/001/2025"</f>
        <v>28.768/001/2025</v>
      </c>
      <c r="B1166" s="4" t="str">
        <f>"Grundlagen Datenschutz - kompakt - online"</f>
        <v>Grundlagen Datenschutz - kompakt - online</v>
      </c>
      <c r="C1166" s="5">
        <v>45705</v>
      </c>
      <c r="D1166" s="5">
        <v>45705</v>
      </c>
      <c r="E1166" s="4" t="str">
        <f>"1 Tag"</f>
        <v>1 Tag</v>
      </c>
      <c r="F1166" s="17">
        <v>140</v>
      </c>
      <c r="G1166" s="4" t="s">
        <v>14</v>
      </c>
      <c r="H1166" s="4" t="s">
        <v>11</v>
      </c>
    </row>
    <row r="1167" spans="1:8" x14ac:dyDescent="0.2">
      <c r="A1167" s="4" t="str">
        <f>"28.769/001/2025"</f>
        <v>28.769/001/2025</v>
      </c>
      <c r="B1167" s="4" t="str">
        <f>"Beschäftigtendatenschutz - online"</f>
        <v>Beschäftigtendatenschutz - online</v>
      </c>
      <c r="C1167" s="5">
        <v>45702</v>
      </c>
      <c r="D1167" s="5">
        <v>45702</v>
      </c>
      <c r="E1167" s="4" t="str">
        <f>"1 Tag"</f>
        <v>1 Tag</v>
      </c>
      <c r="F1167" s="17">
        <v>170</v>
      </c>
      <c r="G1167" s="4" t="s">
        <v>14</v>
      </c>
      <c r="H1167" s="4" t="s">
        <v>11</v>
      </c>
    </row>
    <row r="1168" spans="1:8" x14ac:dyDescent="0.2">
      <c r="A1168" s="4" t="str">
        <f>"28.780/001/2025"</f>
        <v>28.780/001/2025</v>
      </c>
      <c r="B1168" s="4" t="str">
        <f>"Gewerbliches Mietrecht - online"</f>
        <v>Gewerbliches Mietrecht - online</v>
      </c>
      <c r="C1168" s="5">
        <v>45776</v>
      </c>
      <c r="D1168" s="5">
        <v>45777</v>
      </c>
      <c r="E1168" s="4" t="str">
        <f>"1,5 Tage"</f>
        <v>1,5 Tage</v>
      </c>
      <c r="F1168" s="17">
        <v>220</v>
      </c>
      <c r="G1168" s="4" t="s">
        <v>14</v>
      </c>
      <c r="H1168" s="4" t="s">
        <v>11</v>
      </c>
    </row>
    <row r="1169" spans="1:8" x14ac:dyDescent="0.2">
      <c r="A1169" s="4" t="str">
        <f>"29.110/001/2025"</f>
        <v>29.110/001/2025</v>
      </c>
      <c r="B1169" s="4" t="str">
        <f>"Die Europäische Union - ihre Organe und Entscheidungsprozesse - online"</f>
        <v>Die Europäische Union - ihre Organe und Entscheidungsprozesse - online</v>
      </c>
      <c r="C1169" s="5">
        <v>45665</v>
      </c>
      <c r="D1169" s="5">
        <v>45666</v>
      </c>
      <c r="E1169" s="4" t="str">
        <f t="shared" ref="E1169:E1175" si="47">"2 Tage"</f>
        <v>2 Tage</v>
      </c>
      <c r="F1169" s="17">
        <v>270</v>
      </c>
      <c r="G1169" s="4" t="s">
        <v>18</v>
      </c>
      <c r="H1169" s="4" t="s">
        <v>11</v>
      </c>
    </row>
    <row r="1170" spans="1:8" x14ac:dyDescent="0.2">
      <c r="A1170" s="4" t="str">
        <f>"29.110/002/2025"</f>
        <v>29.110/002/2025</v>
      </c>
      <c r="B1170" s="4" t="str">
        <f>"Die Europäische Union - ihre Organe und Entscheidungsprozesse - online"</f>
        <v>Die Europäische Union - ihre Organe und Entscheidungsprozesse - online</v>
      </c>
      <c r="C1170" s="5">
        <v>45687</v>
      </c>
      <c r="D1170" s="5">
        <v>45688</v>
      </c>
      <c r="E1170" s="4" t="str">
        <f t="shared" si="47"/>
        <v>2 Tage</v>
      </c>
      <c r="F1170" s="17">
        <v>270</v>
      </c>
      <c r="G1170" s="4" t="s">
        <v>18</v>
      </c>
      <c r="H1170" s="4" t="s">
        <v>11</v>
      </c>
    </row>
    <row r="1171" spans="1:8" x14ac:dyDescent="0.2">
      <c r="A1171" s="4" t="str">
        <f>"29.110/003/2025"</f>
        <v>29.110/003/2025</v>
      </c>
      <c r="B1171" s="4" t="str">
        <f>"Die Europäische Union - ihre Organe und Entscheidungsprozesse - online"</f>
        <v>Die Europäische Union - ihre Organe und Entscheidungsprozesse - online</v>
      </c>
      <c r="C1171" s="5">
        <v>45749</v>
      </c>
      <c r="D1171" s="5">
        <v>45750</v>
      </c>
      <c r="E1171" s="4" t="str">
        <f t="shared" si="47"/>
        <v>2 Tage</v>
      </c>
      <c r="F1171" s="17">
        <v>270</v>
      </c>
      <c r="G1171" s="4" t="s">
        <v>18</v>
      </c>
      <c r="H1171" s="4" t="s">
        <v>11</v>
      </c>
    </row>
    <row r="1172" spans="1:8" x14ac:dyDescent="0.2">
      <c r="A1172" s="4" t="str">
        <f>"29.110/004/2025"</f>
        <v>29.110/004/2025</v>
      </c>
      <c r="B1172" s="4" t="str">
        <f>"Die Europäische Union - ihre Organe und Entscheidungsprozesse - online"</f>
        <v>Die Europäische Union - ihre Organe und Entscheidungsprozesse - online</v>
      </c>
      <c r="C1172" s="5">
        <v>45798</v>
      </c>
      <c r="D1172" s="5">
        <v>45799</v>
      </c>
      <c r="E1172" s="4" t="str">
        <f t="shared" si="47"/>
        <v>2 Tage</v>
      </c>
      <c r="F1172" s="17">
        <v>270</v>
      </c>
      <c r="G1172" s="4" t="s">
        <v>18</v>
      </c>
      <c r="H1172" s="4" t="s">
        <v>11</v>
      </c>
    </row>
    <row r="1173" spans="1:8" x14ac:dyDescent="0.2">
      <c r="A1173" s="4" t="str">
        <f>"29.110/005/2025"</f>
        <v>29.110/005/2025</v>
      </c>
      <c r="B1173" s="4" t="str">
        <f>"Die Europäische Union - ihre Organe und Entscheidungsprozesse - online"</f>
        <v>Die Europäische Union - ihre Organe und Entscheidungsprozesse - online</v>
      </c>
      <c r="C1173" s="5">
        <v>45946</v>
      </c>
      <c r="D1173" s="5">
        <v>45947</v>
      </c>
      <c r="E1173" s="4" t="str">
        <f t="shared" si="47"/>
        <v>2 Tage</v>
      </c>
      <c r="F1173" s="17">
        <v>270</v>
      </c>
      <c r="G1173" s="4" t="s">
        <v>18</v>
      </c>
      <c r="H1173" s="4" t="s">
        <v>11</v>
      </c>
    </row>
    <row r="1174" spans="1:8" x14ac:dyDescent="0.2">
      <c r="A1174" s="4" t="str">
        <f>"29.330/001/2025"</f>
        <v>29.330/001/2025</v>
      </c>
      <c r="B1174" s="4" t="str">
        <f>"Finanzkontrolle Strukturfondsförderung - Grundlagen des Zuwendungsrechts im Kontext der Europäischen Strukturfonds - online"</f>
        <v>Finanzkontrolle Strukturfondsförderung - Grundlagen des Zuwendungsrechts im Kontext der Europäischen Strukturfonds - online</v>
      </c>
      <c r="C1174" s="5">
        <v>45924</v>
      </c>
      <c r="D1174" s="5">
        <v>45925</v>
      </c>
      <c r="E1174" s="4" t="str">
        <f t="shared" si="47"/>
        <v>2 Tage</v>
      </c>
      <c r="F1174" s="17">
        <v>470</v>
      </c>
      <c r="G1174" s="4" t="s">
        <v>14</v>
      </c>
      <c r="H1174" s="4" t="s">
        <v>22</v>
      </c>
    </row>
    <row r="1175" spans="1:8" x14ac:dyDescent="0.2">
      <c r="A1175" s="4" t="str">
        <f>"31.110/001/2025"</f>
        <v>31.110/001/2025</v>
      </c>
      <c r="B1175" s="4" t="str">
        <f>"New Work: Denkbar - agile Arbeitsmethoden im Wandel der Digitalisierung - online"</f>
        <v>New Work: Denkbar - agile Arbeitsmethoden im Wandel der Digitalisierung - online</v>
      </c>
      <c r="C1175" s="5">
        <v>45789</v>
      </c>
      <c r="D1175" s="5">
        <v>45790</v>
      </c>
      <c r="E1175" s="4" t="str">
        <f t="shared" si="47"/>
        <v>2 Tage</v>
      </c>
      <c r="F1175" s="17">
        <v>330</v>
      </c>
      <c r="G1175" s="4" t="s">
        <v>17</v>
      </c>
      <c r="H1175" s="4" t="s">
        <v>11</v>
      </c>
    </row>
    <row r="1176" spans="1:8" x14ac:dyDescent="0.2">
      <c r="A1176" s="4" t="str">
        <f>"31.120/001/2025"</f>
        <v>31.120/001/2025</v>
      </c>
      <c r="B1176" s="4" t="str">
        <f>"New Work Impulstag: Change Management mit Theory U - online"</f>
        <v>New Work Impulstag: Change Management mit Theory U - online</v>
      </c>
      <c r="C1176" s="5">
        <v>46002</v>
      </c>
      <c r="D1176" s="5">
        <v>46002</v>
      </c>
      <c r="E1176" s="4" t="str">
        <f>"1 Tag"</f>
        <v>1 Tag</v>
      </c>
      <c r="F1176" s="17">
        <v>170</v>
      </c>
      <c r="G1176" s="4" t="s">
        <v>17</v>
      </c>
      <c r="H1176" s="4" t="s">
        <v>11</v>
      </c>
    </row>
    <row r="1177" spans="1:8" x14ac:dyDescent="0.2">
      <c r="A1177" s="4" t="str">
        <f>"31.125/001/2025"</f>
        <v>31.125/001/2025</v>
      </c>
      <c r="B1177" s="4" t="str">
        <f>"New Work Impulstag: Innovative Verwaltungskultur mit Design Thinking - online"</f>
        <v>New Work Impulstag: Innovative Verwaltungskultur mit Design Thinking - online</v>
      </c>
      <c r="C1177" s="5">
        <v>45726</v>
      </c>
      <c r="D1177" s="5">
        <v>45726</v>
      </c>
      <c r="E1177" s="4" t="str">
        <f>"1 Tag"</f>
        <v>1 Tag</v>
      </c>
      <c r="F1177" s="17">
        <v>170</v>
      </c>
      <c r="G1177" s="4" t="s">
        <v>17</v>
      </c>
      <c r="H1177" s="4" t="s">
        <v>11</v>
      </c>
    </row>
    <row r="1178" spans="1:8" x14ac:dyDescent="0.2">
      <c r="A1178" s="4" t="str">
        <f>"31.132/001/2025"</f>
        <v>31.132/001/2025</v>
      </c>
      <c r="B1178" s="4" t="str">
        <f>"New Work: Workshop Innovatives Wissensmanagement für alle - damit wir wissen, was wir wissen (und was nicht) - online"</f>
        <v>New Work: Workshop Innovatives Wissensmanagement für alle - damit wir wissen, was wir wissen (und was nicht) - online</v>
      </c>
      <c r="C1178" s="5">
        <v>45903</v>
      </c>
      <c r="D1178" s="5">
        <v>45903</v>
      </c>
      <c r="E1178" s="4" t="str">
        <f>"1 Tag"</f>
        <v>1 Tag</v>
      </c>
      <c r="F1178" s="17">
        <v>170</v>
      </c>
      <c r="G1178" s="4" t="s">
        <v>17</v>
      </c>
      <c r="H1178" s="4" t="s">
        <v>11</v>
      </c>
    </row>
    <row r="1179" spans="1:8" x14ac:dyDescent="0.2">
      <c r="A1179" s="4" t="str">
        <f>"31.135/001/2025"</f>
        <v>31.135/001/2025</v>
      </c>
      <c r="B1179" s="4" t="str">
        <f>"New Work: Design Thinking in der Verwaltungspraxis - online"</f>
        <v>New Work: Design Thinking in der Verwaltungspraxis - online</v>
      </c>
      <c r="C1179" s="5">
        <v>45925</v>
      </c>
      <c r="D1179" s="5">
        <v>45926</v>
      </c>
      <c r="E1179" s="4" t="str">
        <f>"2 Tage"</f>
        <v>2 Tage</v>
      </c>
      <c r="F1179" s="17">
        <v>330</v>
      </c>
      <c r="G1179" s="4" t="s">
        <v>17</v>
      </c>
      <c r="H1179" s="4" t="s">
        <v>11</v>
      </c>
    </row>
    <row r="1180" spans="1:8" x14ac:dyDescent="0.2">
      <c r="A1180" s="4" t="str">
        <f>"31.137/001/2025"</f>
        <v>31.137/001/2025</v>
      </c>
      <c r="B1180" s="4" t="str">
        <f>"Workshop: Generationenübergreifende Zusammenarbeit fördern - Gemeinsam Wissen für die Zukunft sichern - online -"</f>
        <v>Workshop: Generationenübergreifende Zusammenarbeit fördern - Gemeinsam Wissen für die Zukunft sichern - online -</v>
      </c>
      <c r="C1180" s="5">
        <v>45776</v>
      </c>
      <c r="D1180" s="5">
        <v>45776</v>
      </c>
      <c r="E1180" s="5" t="s">
        <v>21</v>
      </c>
      <c r="F1180" s="17">
        <v>110</v>
      </c>
      <c r="G1180" s="4" t="s">
        <v>17</v>
      </c>
      <c r="H1180" s="4" t="s">
        <v>11</v>
      </c>
    </row>
    <row r="1181" spans="1:8" x14ac:dyDescent="0.2">
      <c r="A1181" s="4" t="str">
        <f>"31.140/001/2025"</f>
        <v>31.140/001/2025</v>
      </c>
      <c r="B1181" s="4" t="str">
        <f>"New Work: Kanban Arbeitsplanung leicht gemacht - online"</f>
        <v>New Work: Kanban Arbeitsplanung leicht gemacht - online</v>
      </c>
      <c r="C1181" s="5">
        <v>45685</v>
      </c>
      <c r="D1181" s="5">
        <v>45685</v>
      </c>
      <c r="E1181" s="4" t="str">
        <f>"1 Tag"</f>
        <v>1 Tag</v>
      </c>
      <c r="F1181" s="17">
        <v>170</v>
      </c>
      <c r="G1181" s="4" t="s">
        <v>17</v>
      </c>
      <c r="H1181" s="4" t="s">
        <v>11</v>
      </c>
    </row>
    <row r="1182" spans="1:8" x14ac:dyDescent="0.2">
      <c r="A1182" s="4" t="str">
        <f>"31.145/001/2025"</f>
        <v>31.145/001/2025</v>
      </c>
      <c r="B1182" s="4" t="str">
        <f>"New Work: Agiles Projektmanagement - neue Methoden im dynamischen Umfeld - online"</f>
        <v>New Work: Agiles Projektmanagement - neue Methoden im dynamischen Umfeld - online</v>
      </c>
      <c r="C1182" s="5">
        <v>45810</v>
      </c>
      <c r="D1182" s="5">
        <v>45811</v>
      </c>
      <c r="E1182" s="4" t="str">
        <f>"2 Tage"</f>
        <v>2 Tage</v>
      </c>
      <c r="F1182" s="17">
        <v>330</v>
      </c>
      <c r="G1182" s="4" t="s">
        <v>17</v>
      </c>
      <c r="H1182" s="4" t="s">
        <v>11</v>
      </c>
    </row>
    <row r="1183" spans="1:8" x14ac:dyDescent="0.2">
      <c r="A1183" s="4" t="str">
        <f>"31.165/001/2025"</f>
        <v>31.165/001/2025</v>
      </c>
      <c r="B1183" s="4" t="str">
        <f>"New Work: LEGO Serious Play als innovative Problemlösungs-, Kreativitäts- und Kommunikationsmethode - ein 3-D-Drucker für unsere Gedanken und Ideen"</f>
        <v>New Work: LEGO Serious Play als innovative Problemlösungs-, Kreativitäts- und Kommunikationsmethode - ein 3-D-Drucker für unsere Gedanken und Ideen</v>
      </c>
      <c r="C1183" s="5">
        <v>45735</v>
      </c>
      <c r="D1183" s="5">
        <v>45735</v>
      </c>
      <c r="E1183" s="4" t="str">
        <f>"1 Tag"</f>
        <v>1 Tag</v>
      </c>
      <c r="F1183" s="17">
        <v>170</v>
      </c>
      <c r="G1183" s="4" t="s">
        <v>17</v>
      </c>
      <c r="H1183" s="4" t="s">
        <v>11</v>
      </c>
    </row>
    <row r="1184" spans="1:8" x14ac:dyDescent="0.2">
      <c r="A1184" s="4" t="str">
        <f>"31.170/001/2025"</f>
        <v>31.170/001/2025</v>
      </c>
      <c r="B1184" s="4" t="str">
        <f>"New Work: Ein Koffer voller Workhacks - kreative Lösungen aus dem agilen Arbeiten für Erfolge in der Digitalisierung - online"</f>
        <v>New Work: Ein Koffer voller Workhacks - kreative Lösungen aus dem agilen Arbeiten für Erfolge in der Digitalisierung - online</v>
      </c>
      <c r="C1184" s="5">
        <v>45712</v>
      </c>
      <c r="D1184" s="5">
        <v>45713</v>
      </c>
      <c r="E1184" s="4" t="str">
        <f t="shared" ref="E1184:E1189" si="48">"2 Tage"</f>
        <v>2 Tage</v>
      </c>
      <c r="F1184" s="17">
        <v>330</v>
      </c>
      <c r="G1184" s="4" t="s">
        <v>17</v>
      </c>
      <c r="H1184" s="4" t="s">
        <v>11</v>
      </c>
    </row>
    <row r="1185" spans="1:8" x14ac:dyDescent="0.2">
      <c r="A1185" s="4" t="str">
        <f>"31.210/001/2025"</f>
        <v>31.210/001/2025</v>
      </c>
      <c r="B1185" s="4" t="str">
        <f>"Organisationsarbeit - Einführung Kompakt- online"</f>
        <v>Organisationsarbeit - Einführung Kompakt- online</v>
      </c>
      <c r="C1185" s="5">
        <v>45699</v>
      </c>
      <c r="D1185" s="5">
        <v>45700</v>
      </c>
      <c r="E1185" s="4" t="str">
        <f t="shared" si="48"/>
        <v>2 Tage</v>
      </c>
      <c r="F1185" s="17">
        <v>490</v>
      </c>
      <c r="G1185" s="4" t="s">
        <v>17</v>
      </c>
      <c r="H1185" s="4" t="s">
        <v>11</v>
      </c>
    </row>
    <row r="1186" spans="1:8" x14ac:dyDescent="0.2">
      <c r="A1186" s="4" t="str">
        <f>"31.230/001/2025"</f>
        <v>31.230/001/2025</v>
      </c>
      <c r="B1186" s="4" t="str">
        <f>"Verwaltung 4.0 - den digitalen Wandel gestalten - online"</f>
        <v>Verwaltung 4.0 - den digitalen Wandel gestalten - online</v>
      </c>
      <c r="C1186" s="5">
        <v>45831</v>
      </c>
      <c r="D1186" s="5">
        <v>45832</v>
      </c>
      <c r="E1186" s="4" t="str">
        <f t="shared" si="48"/>
        <v>2 Tage</v>
      </c>
      <c r="F1186" s="17">
        <v>330</v>
      </c>
      <c r="G1186" s="4" t="s">
        <v>17</v>
      </c>
      <c r="H1186" s="4" t="s">
        <v>11</v>
      </c>
    </row>
    <row r="1187" spans="1:8" x14ac:dyDescent="0.2">
      <c r="A1187" s="4" t="str">
        <f>"31.245/001/2025"</f>
        <v>31.245/001/2025</v>
      </c>
      <c r="B1187" s="4" t="str">
        <f>"Changemanagement für Führungskräfte - online"</f>
        <v>Changemanagement für Führungskräfte - online</v>
      </c>
      <c r="C1187" s="5">
        <v>45967</v>
      </c>
      <c r="D1187" s="5">
        <v>45968</v>
      </c>
      <c r="E1187" s="4" t="str">
        <f t="shared" si="48"/>
        <v>2 Tage</v>
      </c>
      <c r="F1187" s="17">
        <v>330</v>
      </c>
      <c r="G1187" s="4" t="s">
        <v>17</v>
      </c>
      <c r="H1187" s="4" t="s">
        <v>11</v>
      </c>
    </row>
    <row r="1188" spans="1:8" x14ac:dyDescent="0.2">
      <c r="A1188" s="4" t="str">
        <f>"31.250/001/2025"</f>
        <v>31.250/001/2025</v>
      </c>
      <c r="B1188" s="4" t="str">
        <f>"Agile Leadership - online"</f>
        <v>Agile Leadership - online</v>
      </c>
      <c r="C1188" s="5">
        <v>45964</v>
      </c>
      <c r="D1188" s="5">
        <v>45965</v>
      </c>
      <c r="E1188" s="4" t="str">
        <f t="shared" si="48"/>
        <v>2 Tage</v>
      </c>
      <c r="F1188" s="17">
        <v>330</v>
      </c>
      <c r="G1188" s="4" t="s">
        <v>17</v>
      </c>
      <c r="H1188" s="4" t="s">
        <v>11</v>
      </c>
    </row>
    <row r="1189" spans="1:8" x14ac:dyDescent="0.2">
      <c r="A1189" s="4" t="str">
        <f>"31.260/001/2025"</f>
        <v>31.260/001/2025</v>
      </c>
      <c r="B1189" s="4" t="str">
        <f>"KI-Einsatz in Behörden - Wo stehen wir? - online"</f>
        <v>KI-Einsatz in Behörden - Wo stehen wir? - online</v>
      </c>
      <c r="C1189" s="5">
        <v>45939</v>
      </c>
      <c r="D1189" s="5">
        <v>45940</v>
      </c>
      <c r="E1189" s="4" t="str">
        <f t="shared" si="48"/>
        <v>2 Tage</v>
      </c>
      <c r="F1189" s="17">
        <v>210</v>
      </c>
      <c r="G1189" s="4" t="s">
        <v>17</v>
      </c>
      <c r="H1189" s="4" t="s">
        <v>11</v>
      </c>
    </row>
    <row r="1190" spans="1:8" x14ac:dyDescent="0.2">
      <c r="A1190" s="4" t="str">
        <f>"31.325/001/2025"</f>
        <v>31.325/001/2025</v>
      </c>
      <c r="B1190" s="4" t="str">
        <f>"Hybrides Projektmanagement - online"</f>
        <v>Hybrides Projektmanagement - online</v>
      </c>
      <c r="C1190" s="5">
        <v>45764</v>
      </c>
      <c r="D1190" s="5">
        <v>45764</v>
      </c>
      <c r="E1190" s="4" t="str">
        <f>"1 Tag"</f>
        <v>1 Tag</v>
      </c>
      <c r="F1190" s="17">
        <v>170</v>
      </c>
      <c r="G1190" s="4" t="s">
        <v>17</v>
      </c>
      <c r="H1190" s="4" t="s">
        <v>11</v>
      </c>
    </row>
    <row r="1191" spans="1:8" x14ac:dyDescent="0.2">
      <c r="A1191" s="4" t="str">
        <f>"31.330/001/2025"</f>
        <v>31.330/001/2025</v>
      </c>
      <c r="B1191" s="4" t="str">
        <f>"Projektmanagement nach der PRINCE2-Methode  - Grundlagen - online"</f>
        <v>Projektmanagement nach der PRINCE2-Methode  - Grundlagen - online</v>
      </c>
      <c r="C1191" s="5">
        <v>45706</v>
      </c>
      <c r="D1191" s="5">
        <v>45707</v>
      </c>
      <c r="E1191" s="4" t="str">
        <f>"2 Tage"</f>
        <v>2 Tage</v>
      </c>
      <c r="F1191" s="17">
        <v>330</v>
      </c>
      <c r="G1191" s="4" t="s">
        <v>17</v>
      </c>
      <c r="H1191" s="4" t="s">
        <v>11</v>
      </c>
    </row>
    <row r="1192" spans="1:8" x14ac:dyDescent="0.2">
      <c r="A1192" s="4" t="str">
        <f>"31.335/001/2025"</f>
        <v>31.335/001/2025</v>
      </c>
      <c r="B1192" s="4" t="str">
        <f>"Workshop: Projekte mit PRINCE2 agil steuern - online"</f>
        <v>Workshop: Projekte mit PRINCE2 agil steuern - online</v>
      </c>
      <c r="C1192" s="5">
        <v>45995</v>
      </c>
      <c r="D1192" s="5">
        <v>45996</v>
      </c>
      <c r="E1192" s="4" t="str">
        <f>"2 Tage"</f>
        <v>2 Tage</v>
      </c>
      <c r="F1192" s="17">
        <v>330</v>
      </c>
      <c r="G1192" s="4" t="s">
        <v>17</v>
      </c>
      <c r="H1192" s="4" t="s">
        <v>11</v>
      </c>
    </row>
    <row r="1193" spans="1:8" x14ac:dyDescent="0.2">
      <c r="A1193" s="4" t="str">
        <f>"31.410/001/2025"</f>
        <v>31.410/001/2025</v>
      </c>
      <c r="B1193" s="4" t="str">
        <f>"Geschäftsprozessanalyse und -optimierung - online"</f>
        <v>Geschäftsprozessanalyse und -optimierung - online</v>
      </c>
      <c r="C1193" s="5">
        <v>45698</v>
      </c>
      <c r="D1193" s="5">
        <v>45713</v>
      </c>
      <c r="E1193" s="4" t="str">
        <f>"2x2 Tage"</f>
        <v>2x2 Tage</v>
      </c>
      <c r="F1193" s="17">
        <v>660</v>
      </c>
      <c r="G1193" s="4"/>
      <c r="H1193" s="4" t="s">
        <v>11</v>
      </c>
    </row>
    <row r="1194" spans="1:8" x14ac:dyDescent="0.2">
      <c r="A1194" s="4" t="str">
        <f>"31.410/001 a/2025"</f>
        <v>31.410/001 a/2025</v>
      </c>
      <c r="B1194" s="4" t="str">
        <f>"Geschäftsprozessanalyse und -optimierung - online"</f>
        <v>Geschäftsprozessanalyse und -optimierung - online</v>
      </c>
      <c r="C1194" s="5">
        <v>45698</v>
      </c>
      <c r="D1194" s="5">
        <v>45699</v>
      </c>
      <c r="E1194" s="4"/>
      <c r="F1194" s="17"/>
      <c r="G1194" s="4" t="s">
        <v>17</v>
      </c>
      <c r="H1194" s="4" t="s">
        <v>11</v>
      </c>
    </row>
    <row r="1195" spans="1:8" x14ac:dyDescent="0.2">
      <c r="A1195" s="4" t="str">
        <f>"31.410/001 b/2025"</f>
        <v>31.410/001 b/2025</v>
      </c>
      <c r="B1195" s="4" t="str">
        <f>"Geschäftsprozessanalyse und -optimierung- online "</f>
        <v xml:space="preserve">Geschäftsprozessanalyse und -optimierung- online </v>
      </c>
      <c r="C1195" s="5">
        <v>45712</v>
      </c>
      <c r="D1195" s="5">
        <v>45713</v>
      </c>
      <c r="E1195" s="4"/>
      <c r="F1195" s="17"/>
      <c r="G1195" s="4" t="s">
        <v>17</v>
      </c>
      <c r="H1195" s="4" t="s">
        <v>11</v>
      </c>
    </row>
    <row r="1196" spans="1:8" x14ac:dyDescent="0.2">
      <c r="A1196" s="4" t="str">
        <f>"31.411/001/2025"</f>
        <v>31.411/001/2025</v>
      </c>
      <c r="B1196" s="4" t="str">
        <f>"Geschäftsprozessmanagement - online"</f>
        <v>Geschäftsprozessmanagement - online</v>
      </c>
      <c r="C1196" s="5">
        <v>45818</v>
      </c>
      <c r="D1196" s="5">
        <v>45819</v>
      </c>
      <c r="E1196" s="4" t="str">
        <f>"2 Tage"</f>
        <v>2 Tage</v>
      </c>
      <c r="F1196" s="17">
        <v>330</v>
      </c>
      <c r="G1196" s="4" t="s">
        <v>17</v>
      </c>
      <c r="H1196" s="4" t="s">
        <v>11</v>
      </c>
    </row>
    <row r="1197" spans="1:8" x14ac:dyDescent="0.2">
      <c r="A1197" s="4" t="str">
        <f>"31.411/002/2025"</f>
        <v>31.411/002/2025</v>
      </c>
      <c r="B1197" s="4" t="str">
        <f>"Geschäftsprozessmanagement - online"</f>
        <v>Geschäftsprozessmanagement - online</v>
      </c>
      <c r="C1197" s="5">
        <v>45929</v>
      </c>
      <c r="D1197" s="5">
        <v>45930</v>
      </c>
      <c r="E1197" s="4" t="str">
        <f>"2 Tage"</f>
        <v>2 Tage</v>
      </c>
      <c r="F1197" s="17">
        <v>330</v>
      </c>
      <c r="G1197" s="4" t="s">
        <v>17</v>
      </c>
      <c r="H1197" s="4" t="s">
        <v>11</v>
      </c>
    </row>
    <row r="1198" spans="1:8" x14ac:dyDescent="0.2">
      <c r="A1198" s="4" t="str">
        <f>"31.450/001/2025"</f>
        <v>31.450/001/2025</v>
      </c>
      <c r="B1198" s="4" t="str">
        <f>"Agiles Qualitätsmanagement-  neue Methoden im Überblick - online"</f>
        <v>Agiles Qualitätsmanagement-  neue Methoden im Überblick - online</v>
      </c>
      <c r="C1198" s="5">
        <v>45687</v>
      </c>
      <c r="D1198" s="5">
        <v>45687</v>
      </c>
      <c r="E1198" s="4" t="str">
        <f>"1 Tag"</f>
        <v>1 Tag</v>
      </c>
      <c r="F1198" s="17">
        <v>170</v>
      </c>
      <c r="G1198" s="4" t="s">
        <v>17</v>
      </c>
      <c r="H1198" s="4" t="s">
        <v>11</v>
      </c>
    </row>
    <row r="1199" spans="1:8" x14ac:dyDescent="0.2">
      <c r="A1199" s="4" t="str">
        <f>"31.601/001/2025"</f>
        <v>31.601/001/2025</v>
      </c>
      <c r="B1199" s="4" t="str">
        <f>"Brainfood 2.0: Vielfältige Verwaltung - Potenziale für Teams und Zusammenarbeit - online"</f>
        <v>Brainfood 2.0: Vielfältige Verwaltung - Potenziale für Teams und Zusammenarbeit - online</v>
      </c>
      <c r="C1199" s="5">
        <v>45709</v>
      </c>
      <c r="D1199" s="5">
        <v>45709</v>
      </c>
      <c r="E1199" s="4" t="str">
        <f>"1,5 Stunden"</f>
        <v>1,5 Stunden</v>
      </c>
      <c r="F1199" s="17">
        <v>60</v>
      </c>
      <c r="G1199" s="4" t="s">
        <v>17</v>
      </c>
      <c r="H1199" s="4" t="s">
        <v>11</v>
      </c>
    </row>
    <row r="1200" spans="1:8" x14ac:dyDescent="0.2">
      <c r="A1200" s="4" t="str">
        <f>"31.603/001/2025"</f>
        <v>31.603/001/2025</v>
      </c>
      <c r="B1200" s="4" t="str">
        <f>"Brainfood 2.0 Low-Code in der Verwaltung  - Online"</f>
        <v>Brainfood 2.0 Low-Code in der Verwaltung  - Online</v>
      </c>
      <c r="C1200" s="5">
        <v>45793</v>
      </c>
      <c r="D1200" s="5">
        <v>45793</v>
      </c>
      <c r="E1200" s="4" t="str">
        <f>"1,5 Stunden"</f>
        <v>1,5 Stunden</v>
      </c>
      <c r="F1200" s="17">
        <v>60</v>
      </c>
      <c r="G1200" s="4" t="s">
        <v>17</v>
      </c>
      <c r="H1200" s="4" t="s">
        <v>11</v>
      </c>
    </row>
    <row r="1201" spans="1:8" x14ac:dyDescent="0.2">
      <c r="A1201" s="4" t="str">
        <f>"31.605/001/2025"</f>
        <v>31.605/001/2025</v>
      </c>
      <c r="B1201" s="4" t="str">
        <f>"Brainfood 2.0: ChatGPT und Co. - Generative KI als Supercharger der Verwaltungsautomatisierung?"</f>
        <v>Brainfood 2.0: ChatGPT und Co. - Generative KI als Supercharger der Verwaltungsautomatisierung?</v>
      </c>
      <c r="C1201" s="5">
        <v>45908</v>
      </c>
      <c r="D1201" s="5">
        <v>45908</v>
      </c>
      <c r="E1201" s="4" t="str">
        <f>"0,5 Tage"</f>
        <v>0,5 Tage</v>
      </c>
      <c r="F1201" s="17">
        <v>60</v>
      </c>
      <c r="G1201" s="4" t="s">
        <v>17</v>
      </c>
      <c r="H1201" s="4" t="s">
        <v>11</v>
      </c>
    </row>
    <row r="1202" spans="1:8" x14ac:dyDescent="0.2">
      <c r="A1202" s="7" t="str">
        <f>"31.606/001/2025"</f>
        <v>31.606/001/2025</v>
      </c>
      <c r="B1202" s="7" t="str">
        <f>"Brainfood 2.0: Nachhaltige Verwaltung - online"</f>
        <v>Brainfood 2.0: Nachhaltige Verwaltung - online</v>
      </c>
      <c r="C1202" s="8">
        <v>45932</v>
      </c>
      <c r="D1202" s="8">
        <v>45932</v>
      </c>
      <c r="E1202" s="7" t="str">
        <f>"1,5 Stunden"</f>
        <v>1,5 Stunden</v>
      </c>
      <c r="F1202" s="18">
        <v>60</v>
      </c>
      <c r="G1202" s="7" t="s">
        <v>17</v>
      </c>
      <c r="H1202" s="7" t="s">
        <v>11</v>
      </c>
    </row>
  </sheetData>
  <mergeCells count="6">
    <mergeCell ref="A1:A6"/>
    <mergeCell ref="G1:H6"/>
    <mergeCell ref="B1:F1"/>
    <mergeCell ref="B2:F2"/>
    <mergeCell ref="B4:F4"/>
    <mergeCell ref="B6:F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ECB4-39AE-4A97-A87E-B120C6D09689}">
  <dimension ref="A1:H1276"/>
  <sheetViews>
    <sheetView workbookViewId="0">
      <selection activeCell="I1" sqref="I1:I1048576"/>
    </sheetView>
  </sheetViews>
  <sheetFormatPr baseColWidth="10" defaultRowHeight="12.75" x14ac:dyDescent="0.2"/>
  <cols>
    <col min="1" max="1" width="25.85546875" style="4" customWidth="1"/>
    <col min="2" max="2" width="88.28515625" style="1" customWidth="1"/>
    <col min="3" max="5" width="11.42578125" style="1" customWidth="1"/>
    <col min="6" max="6" width="11.42578125" style="10" customWidth="1"/>
    <col min="7" max="7" width="24.85546875" style="1" bestFit="1" customWidth="1"/>
    <col min="8" max="16384" width="11.42578125" style="1"/>
  </cols>
  <sheetData>
    <row r="1" spans="1:8" ht="33" customHeight="1" x14ac:dyDescent="0.4">
      <c r="A1" s="32"/>
      <c r="B1" s="34" t="s">
        <v>0</v>
      </c>
      <c r="C1" s="19"/>
      <c r="D1" s="19"/>
      <c r="E1" s="19"/>
      <c r="F1" s="19"/>
      <c r="G1" s="35"/>
      <c r="H1" s="36"/>
    </row>
    <row r="2" spans="1:8" ht="18" x14ac:dyDescent="0.25">
      <c r="A2" s="33"/>
      <c r="B2" s="41" t="s">
        <v>1</v>
      </c>
      <c r="C2" s="41"/>
      <c r="D2" s="41"/>
      <c r="E2" s="41"/>
      <c r="F2" s="41"/>
      <c r="G2" s="37"/>
      <c r="H2" s="38"/>
    </row>
    <row r="3" spans="1:8" x14ac:dyDescent="0.2">
      <c r="A3" s="33"/>
      <c r="B3" s="19"/>
      <c r="C3" s="19"/>
      <c r="D3" s="19"/>
      <c r="E3" s="19"/>
      <c r="F3" s="19"/>
      <c r="G3" s="37"/>
      <c r="H3" s="38"/>
    </row>
    <row r="4" spans="1:8" x14ac:dyDescent="0.2">
      <c r="A4" s="33"/>
      <c r="B4" s="19" t="s">
        <v>2</v>
      </c>
      <c r="C4" s="19"/>
      <c r="D4" s="19"/>
      <c r="E4" s="19"/>
      <c r="F4" s="19"/>
      <c r="G4" s="37"/>
      <c r="H4" s="38"/>
    </row>
    <row r="5" spans="1:8" x14ac:dyDescent="0.2">
      <c r="A5" s="33"/>
      <c r="B5" s="19"/>
      <c r="C5" s="19"/>
      <c r="D5" s="19"/>
      <c r="E5" s="19"/>
      <c r="F5" s="19"/>
      <c r="G5" s="37"/>
      <c r="H5" s="38"/>
    </row>
    <row r="6" spans="1:8" x14ac:dyDescent="0.2">
      <c r="A6" s="33"/>
      <c r="B6" s="19"/>
      <c r="C6" s="19"/>
      <c r="D6" s="19"/>
      <c r="E6" s="19"/>
      <c r="F6" s="19"/>
      <c r="G6" s="39"/>
      <c r="H6" s="40"/>
    </row>
    <row r="7" spans="1:8" x14ac:dyDescent="0.2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</row>
    <row r="8" spans="1:8" x14ac:dyDescent="0.2">
      <c r="A8" s="4" t="str">
        <f>"01.110/001/2025"</f>
        <v>01.110/001/2025</v>
      </c>
      <c r="B8" s="4" t="str">
        <f t="shared" ref="B8:B20" si="0">"ComIn NRW - Compliance und Integrität in der Landesverwaltung NRW"</f>
        <v>ComIn NRW - Compliance und Integrität in der Landesverwaltung NRW</v>
      </c>
      <c r="C8" s="5">
        <v>45665</v>
      </c>
      <c r="D8" s="5">
        <v>45666</v>
      </c>
      <c r="E8" s="4" t="str">
        <f t="shared" ref="E8:E20" si="1">"2 Tage"</f>
        <v>2 Tage</v>
      </c>
      <c r="F8" s="6">
        <v>460</v>
      </c>
      <c r="G8" s="4" t="str">
        <f t="shared" ref="G8:G20" si="2">"Führungsfortbildung"</f>
        <v>Führungsfortbildung</v>
      </c>
      <c r="H8" s="4" t="s">
        <v>11</v>
      </c>
    </row>
    <row r="9" spans="1:8" x14ac:dyDescent="0.2">
      <c r="A9" s="4" t="str">
        <f>"01.110/002/2025"</f>
        <v>01.110/002/2025</v>
      </c>
      <c r="B9" s="4" t="str">
        <f t="shared" si="0"/>
        <v>ComIn NRW - Compliance und Integrität in der Landesverwaltung NRW</v>
      </c>
      <c r="C9" s="5">
        <v>45691</v>
      </c>
      <c r="D9" s="5">
        <v>45692</v>
      </c>
      <c r="E9" s="4" t="str">
        <f t="shared" si="1"/>
        <v>2 Tage</v>
      </c>
      <c r="F9" s="6">
        <v>460</v>
      </c>
      <c r="G9" s="4" t="str">
        <f t="shared" si="2"/>
        <v>Führungsfortbildung</v>
      </c>
      <c r="H9" s="4" t="s">
        <v>11</v>
      </c>
    </row>
    <row r="10" spans="1:8" x14ac:dyDescent="0.2">
      <c r="A10" s="4" t="str">
        <f>"01.110/003/2025"</f>
        <v>01.110/003/2025</v>
      </c>
      <c r="B10" s="4" t="str">
        <f t="shared" si="0"/>
        <v>ComIn NRW - Compliance und Integrität in der Landesverwaltung NRW</v>
      </c>
      <c r="C10" s="5">
        <v>45708</v>
      </c>
      <c r="D10" s="5">
        <v>45709</v>
      </c>
      <c r="E10" s="4" t="str">
        <f t="shared" si="1"/>
        <v>2 Tage</v>
      </c>
      <c r="F10" s="6">
        <v>460</v>
      </c>
      <c r="G10" s="4" t="str">
        <f t="shared" si="2"/>
        <v>Führungsfortbildung</v>
      </c>
      <c r="H10" s="4" t="s">
        <v>11</v>
      </c>
    </row>
    <row r="11" spans="1:8" x14ac:dyDescent="0.2">
      <c r="A11" s="4" t="str">
        <f>"01.110/004/2025"</f>
        <v>01.110/004/2025</v>
      </c>
      <c r="B11" s="4" t="str">
        <f t="shared" si="0"/>
        <v>ComIn NRW - Compliance und Integrität in der Landesverwaltung NRW</v>
      </c>
      <c r="C11" s="5">
        <v>45743</v>
      </c>
      <c r="D11" s="5">
        <v>45744</v>
      </c>
      <c r="E11" s="4" t="str">
        <f t="shared" si="1"/>
        <v>2 Tage</v>
      </c>
      <c r="F11" s="6">
        <v>460</v>
      </c>
      <c r="G11" s="4" t="str">
        <f t="shared" si="2"/>
        <v>Führungsfortbildung</v>
      </c>
      <c r="H11" s="4" t="s">
        <v>11</v>
      </c>
    </row>
    <row r="12" spans="1:8" x14ac:dyDescent="0.2">
      <c r="A12" s="4" t="str">
        <f>"01.110/005/2025"</f>
        <v>01.110/005/2025</v>
      </c>
      <c r="B12" s="4" t="str">
        <f t="shared" si="0"/>
        <v>ComIn NRW - Compliance und Integrität in der Landesverwaltung NRW</v>
      </c>
      <c r="C12" s="5">
        <v>45754</v>
      </c>
      <c r="D12" s="5">
        <v>45755</v>
      </c>
      <c r="E12" s="4" t="str">
        <f t="shared" si="1"/>
        <v>2 Tage</v>
      </c>
      <c r="F12" s="6">
        <v>460</v>
      </c>
      <c r="G12" s="4" t="str">
        <f t="shared" si="2"/>
        <v>Führungsfortbildung</v>
      </c>
      <c r="H12" s="4" t="s">
        <v>11</v>
      </c>
    </row>
    <row r="13" spans="1:8" x14ac:dyDescent="0.2">
      <c r="A13" s="4" t="str">
        <f>"01.110/006/2025"</f>
        <v>01.110/006/2025</v>
      </c>
      <c r="B13" s="4" t="str">
        <f t="shared" si="0"/>
        <v>ComIn NRW - Compliance und Integrität in der Landesverwaltung NRW</v>
      </c>
      <c r="C13" s="5">
        <v>45796</v>
      </c>
      <c r="D13" s="5">
        <v>45797</v>
      </c>
      <c r="E13" s="4" t="str">
        <f t="shared" si="1"/>
        <v>2 Tage</v>
      </c>
      <c r="F13" s="6">
        <v>460</v>
      </c>
      <c r="G13" s="4" t="str">
        <f t="shared" si="2"/>
        <v>Führungsfortbildung</v>
      </c>
      <c r="H13" s="4" t="s">
        <v>11</v>
      </c>
    </row>
    <row r="14" spans="1:8" x14ac:dyDescent="0.2">
      <c r="A14" s="4" t="str">
        <f>"01.110/007/2025"</f>
        <v>01.110/007/2025</v>
      </c>
      <c r="B14" s="4" t="str">
        <f t="shared" si="0"/>
        <v>ComIn NRW - Compliance und Integrität in der Landesverwaltung NRW</v>
      </c>
      <c r="C14" s="5">
        <v>45812</v>
      </c>
      <c r="D14" s="5">
        <v>45813</v>
      </c>
      <c r="E14" s="4" t="str">
        <f t="shared" si="1"/>
        <v>2 Tage</v>
      </c>
      <c r="F14" s="6">
        <v>460</v>
      </c>
      <c r="G14" s="4" t="str">
        <f t="shared" si="2"/>
        <v>Führungsfortbildung</v>
      </c>
      <c r="H14" s="4" t="s">
        <v>11</v>
      </c>
    </row>
    <row r="15" spans="1:8" x14ac:dyDescent="0.2">
      <c r="A15" s="4" t="str">
        <f>"01.110/008/2025"</f>
        <v>01.110/008/2025</v>
      </c>
      <c r="B15" s="4" t="str">
        <f t="shared" si="0"/>
        <v>ComIn NRW - Compliance und Integrität in der Landesverwaltung NRW</v>
      </c>
      <c r="C15" s="5">
        <v>45869</v>
      </c>
      <c r="D15" s="5">
        <v>45870</v>
      </c>
      <c r="E15" s="4" t="str">
        <f t="shared" si="1"/>
        <v>2 Tage</v>
      </c>
      <c r="F15" s="6">
        <v>460</v>
      </c>
      <c r="G15" s="4" t="str">
        <f t="shared" si="2"/>
        <v>Führungsfortbildung</v>
      </c>
      <c r="H15" s="4" t="s">
        <v>11</v>
      </c>
    </row>
    <row r="16" spans="1:8" x14ac:dyDescent="0.2">
      <c r="A16" s="4" t="str">
        <f>"01.110/009/2025"</f>
        <v>01.110/009/2025</v>
      </c>
      <c r="B16" s="4" t="str">
        <f t="shared" si="0"/>
        <v>ComIn NRW - Compliance und Integrität in der Landesverwaltung NRW</v>
      </c>
      <c r="C16" s="5">
        <v>45894</v>
      </c>
      <c r="D16" s="5">
        <v>45895</v>
      </c>
      <c r="E16" s="4" t="str">
        <f t="shared" si="1"/>
        <v>2 Tage</v>
      </c>
      <c r="F16" s="6">
        <v>460</v>
      </c>
      <c r="G16" s="4" t="str">
        <f t="shared" si="2"/>
        <v>Führungsfortbildung</v>
      </c>
      <c r="H16" s="4" t="s">
        <v>11</v>
      </c>
    </row>
    <row r="17" spans="1:8" x14ac:dyDescent="0.2">
      <c r="A17" s="4" t="str">
        <f>"01.110/011/2025"</f>
        <v>01.110/011/2025</v>
      </c>
      <c r="B17" s="4" t="str">
        <f t="shared" si="0"/>
        <v>ComIn NRW - Compliance und Integrität in der Landesverwaltung NRW</v>
      </c>
      <c r="C17" s="5">
        <v>45922</v>
      </c>
      <c r="D17" s="5">
        <v>45923</v>
      </c>
      <c r="E17" s="4" t="str">
        <f t="shared" si="1"/>
        <v>2 Tage</v>
      </c>
      <c r="F17" s="6">
        <v>460</v>
      </c>
      <c r="G17" s="4" t="str">
        <f t="shared" si="2"/>
        <v>Führungsfortbildung</v>
      </c>
      <c r="H17" s="4" t="s">
        <v>11</v>
      </c>
    </row>
    <row r="18" spans="1:8" x14ac:dyDescent="0.2">
      <c r="A18" s="4" t="str">
        <f>"01.110/012/2025"</f>
        <v>01.110/012/2025</v>
      </c>
      <c r="B18" s="4" t="str">
        <f t="shared" si="0"/>
        <v>ComIn NRW - Compliance und Integrität in der Landesverwaltung NRW</v>
      </c>
      <c r="C18" s="5">
        <v>45939</v>
      </c>
      <c r="D18" s="5">
        <v>45940</v>
      </c>
      <c r="E18" s="4" t="str">
        <f t="shared" si="1"/>
        <v>2 Tage</v>
      </c>
      <c r="F18" s="6">
        <v>460</v>
      </c>
      <c r="G18" s="4" t="str">
        <f t="shared" si="2"/>
        <v>Führungsfortbildung</v>
      </c>
      <c r="H18" s="4" t="s">
        <v>11</v>
      </c>
    </row>
    <row r="19" spans="1:8" x14ac:dyDescent="0.2">
      <c r="A19" s="4" t="str">
        <f>"01.110/015/2025"</f>
        <v>01.110/015/2025</v>
      </c>
      <c r="B19" s="4" t="str">
        <f t="shared" si="0"/>
        <v>ComIn NRW - Compliance und Integrität in der Landesverwaltung NRW</v>
      </c>
      <c r="C19" s="5">
        <v>45993</v>
      </c>
      <c r="D19" s="5">
        <v>45994</v>
      </c>
      <c r="E19" s="4" t="str">
        <f t="shared" si="1"/>
        <v>2 Tage</v>
      </c>
      <c r="F19" s="6">
        <v>460</v>
      </c>
      <c r="G19" s="4" t="str">
        <f t="shared" si="2"/>
        <v>Führungsfortbildung</v>
      </c>
      <c r="H19" s="4" t="s">
        <v>11</v>
      </c>
    </row>
    <row r="20" spans="1:8" x14ac:dyDescent="0.2">
      <c r="A20" s="4" t="str">
        <f>"01.110/016/2025"</f>
        <v>01.110/016/2025</v>
      </c>
      <c r="B20" s="4" t="str">
        <f t="shared" si="0"/>
        <v>ComIn NRW - Compliance und Integrität in der Landesverwaltung NRW</v>
      </c>
      <c r="C20" s="5">
        <v>45999</v>
      </c>
      <c r="D20" s="5">
        <v>46000</v>
      </c>
      <c r="E20" s="4" t="str">
        <f t="shared" si="1"/>
        <v>2 Tage</v>
      </c>
      <c r="F20" s="6">
        <v>460</v>
      </c>
      <c r="G20" s="4" t="str">
        <f t="shared" si="2"/>
        <v>Führungsfortbildung</v>
      </c>
      <c r="H20" s="4" t="s">
        <v>11</v>
      </c>
    </row>
    <row r="21" spans="1:8" x14ac:dyDescent="0.2">
      <c r="A21" s="4" t="str">
        <f>"01.114/001/2025"</f>
        <v>01.114/001/2025</v>
      </c>
      <c r="B21" s="4" t="str">
        <f t="shared" ref="B21:B80" si="3">"Führung I - Kommunikation und Führung"</f>
        <v>Führung I - Kommunikation und Führung</v>
      </c>
      <c r="C21" s="5">
        <v>45663</v>
      </c>
      <c r="D21" s="5">
        <v>45737</v>
      </c>
      <c r="E21" s="4" t="str">
        <f>"3x3 Tage"</f>
        <v>3x3 Tage</v>
      </c>
      <c r="F21" s="6">
        <v>2170</v>
      </c>
      <c r="G21" s="4"/>
      <c r="H21" s="4" t="s">
        <v>11</v>
      </c>
    </row>
    <row r="22" spans="1:8" x14ac:dyDescent="0.2">
      <c r="A22" s="4" t="str">
        <f>"01.114/001 a/2025"</f>
        <v>01.114/001 a/2025</v>
      </c>
      <c r="B22" s="4" t="str">
        <f t="shared" si="3"/>
        <v>Führung I - Kommunikation und Führung</v>
      </c>
      <c r="C22" s="5">
        <v>45663</v>
      </c>
      <c r="D22" s="5">
        <v>45665</v>
      </c>
      <c r="E22" s="4"/>
      <c r="F22" s="6" t="s">
        <v>11</v>
      </c>
      <c r="G22" s="4" t="str">
        <f>"Führungsfortbildung"</f>
        <v>Führungsfortbildung</v>
      </c>
      <c r="H22" s="4" t="s">
        <v>11</v>
      </c>
    </row>
    <row r="23" spans="1:8" x14ac:dyDescent="0.2">
      <c r="A23" s="4" t="str">
        <f>"01.114/001 b/2025"</f>
        <v>01.114/001 b/2025</v>
      </c>
      <c r="B23" s="4" t="str">
        <f t="shared" si="3"/>
        <v>Führung I - Kommunikation und Führung</v>
      </c>
      <c r="C23" s="5">
        <v>45698</v>
      </c>
      <c r="D23" s="5">
        <v>45700</v>
      </c>
      <c r="E23" s="4"/>
      <c r="F23" s="6" t="s">
        <v>11</v>
      </c>
      <c r="G23" s="4" t="str">
        <f>"Führungsfortbildung"</f>
        <v>Führungsfortbildung</v>
      </c>
      <c r="H23" s="4" t="s">
        <v>11</v>
      </c>
    </row>
    <row r="24" spans="1:8" x14ac:dyDescent="0.2">
      <c r="A24" s="4" t="str">
        <f>"01.114/001 c/2025"</f>
        <v>01.114/001 c/2025</v>
      </c>
      <c r="B24" s="4" t="str">
        <f t="shared" si="3"/>
        <v>Führung I - Kommunikation und Führung</v>
      </c>
      <c r="C24" s="5">
        <v>45735</v>
      </c>
      <c r="D24" s="5">
        <v>45737</v>
      </c>
      <c r="E24" s="4"/>
      <c r="F24" s="6" t="s">
        <v>11</v>
      </c>
      <c r="G24" s="4" t="str">
        <f>"Führungsfortbildung"</f>
        <v>Führungsfortbildung</v>
      </c>
      <c r="H24" s="4" t="s">
        <v>11</v>
      </c>
    </row>
    <row r="25" spans="1:8" x14ac:dyDescent="0.2">
      <c r="A25" s="4" t="str">
        <f>"01.114/002/2025"</f>
        <v>01.114/002/2025</v>
      </c>
      <c r="B25" s="4" t="str">
        <f t="shared" si="3"/>
        <v>Führung I - Kommunikation und Führung</v>
      </c>
      <c r="C25" s="5">
        <v>45672</v>
      </c>
      <c r="D25" s="5">
        <v>45799</v>
      </c>
      <c r="E25" s="4" t="str">
        <f>"3x3 Tage"</f>
        <v>3x3 Tage</v>
      </c>
      <c r="F25" s="6">
        <v>2170</v>
      </c>
      <c r="G25" s="4"/>
      <c r="H25" s="4" t="s">
        <v>11</v>
      </c>
    </row>
    <row r="26" spans="1:8" x14ac:dyDescent="0.2">
      <c r="A26" s="4" t="str">
        <f>"01.114/002 a/2025"</f>
        <v>01.114/002 a/2025</v>
      </c>
      <c r="B26" s="4" t="str">
        <f t="shared" si="3"/>
        <v>Führung I - Kommunikation und Führung</v>
      </c>
      <c r="C26" s="5">
        <v>45672</v>
      </c>
      <c r="D26" s="5">
        <v>45674</v>
      </c>
      <c r="E26" s="4"/>
      <c r="F26" s="6" t="s">
        <v>11</v>
      </c>
      <c r="G26" s="4" t="str">
        <f>"Führungsfortbildung"</f>
        <v>Führungsfortbildung</v>
      </c>
      <c r="H26" s="4" t="s">
        <v>11</v>
      </c>
    </row>
    <row r="27" spans="1:8" x14ac:dyDescent="0.2">
      <c r="A27" s="4" t="str">
        <f>"01.114/002 b/2025"</f>
        <v>01.114/002 b/2025</v>
      </c>
      <c r="B27" s="4" t="str">
        <f t="shared" si="3"/>
        <v>Führung I - Kommunikation und Führung</v>
      </c>
      <c r="C27" s="5">
        <v>45747</v>
      </c>
      <c r="D27" s="5">
        <v>45749</v>
      </c>
      <c r="E27" s="4"/>
      <c r="F27" s="6" t="s">
        <v>11</v>
      </c>
      <c r="G27" s="4" t="str">
        <f>"Führungsfortbildung"</f>
        <v>Führungsfortbildung</v>
      </c>
      <c r="H27" s="4" t="s">
        <v>11</v>
      </c>
    </row>
    <row r="28" spans="1:8" x14ac:dyDescent="0.2">
      <c r="A28" s="4" t="str">
        <f>"01.114/002 c/2025"</f>
        <v>01.114/002 c/2025</v>
      </c>
      <c r="B28" s="4" t="str">
        <f t="shared" si="3"/>
        <v>Führung I - Kommunikation und Führung</v>
      </c>
      <c r="C28" s="5">
        <v>45797</v>
      </c>
      <c r="D28" s="5">
        <v>45799</v>
      </c>
      <c r="E28" s="4"/>
      <c r="F28" s="6" t="s">
        <v>11</v>
      </c>
      <c r="G28" s="4" t="str">
        <f>"Führungsfortbildung"</f>
        <v>Führungsfortbildung</v>
      </c>
      <c r="H28" s="4" t="s">
        <v>11</v>
      </c>
    </row>
    <row r="29" spans="1:8" x14ac:dyDescent="0.2">
      <c r="A29" s="4" t="str">
        <f>"01.114/003/2025"</f>
        <v>01.114/003/2025</v>
      </c>
      <c r="B29" s="4" t="str">
        <f t="shared" si="3"/>
        <v>Führung I - Kommunikation und Führung</v>
      </c>
      <c r="C29" s="5">
        <v>45691</v>
      </c>
      <c r="D29" s="5">
        <v>45863</v>
      </c>
      <c r="E29" s="4" t="str">
        <f>"3x3 Tage"</f>
        <v>3x3 Tage</v>
      </c>
      <c r="F29" s="6">
        <v>2170</v>
      </c>
      <c r="G29" s="4"/>
      <c r="H29" s="4" t="s">
        <v>11</v>
      </c>
    </row>
    <row r="30" spans="1:8" x14ac:dyDescent="0.2">
      <c r="A30" s="4" t="str">
        <f>"01.114/003 a/2025"</f>
        <v>01.114/003 a/2025</v>
      </c>
      <c r="B30" s="4" t="str">
        <f t="shared" si="3"/>
        <v>Führung I - Kommunikation und Führung</v>
      </c>
      <c r="C30" s="5">
        <v>45691</v>
      </c>
      <c r="D30" s="5">
        <v>45693</v>
      </c>
      <c r="E30" s="4"/>
      <c r="F30" s="6" t="s">
        <v>11</v>
      </c>
      <c r="G30" s="4" t="str">
        <f>"Führungsfortbildung"</f>
        <v>Führungsfortbildung</v>
      </c>
      <c r="H30" s="4" t="s">
        <v>11</v>
      </c>
    </row>
    <row r="31" spans="1:8" x14ac:dyDescent="0.2">
      <c r="A31" s="4" t="str">
        <f>"01.114/003 b/2025"</f>
        <v>01.114/003 b/2025</v>
      </c>
      <c r="B31" s="4" t="str">
        <f t="shared" si="3"/>
        <v>Führung I - Kommunikation und Führung</v>
      </c>
      <c r="C31" s="5">
        <v>45791</v>
      </c>
      <c r="D31" s="5">
        <v>45793</v>
      </c>
      <c r="E31" s="4"/>
      <c r="F31" s="6" t="s">
        <v>11</v>
      </c>
      <c r="G31" s="4" t="str">
        <f>"Führungsfortbildung"</f>
        <v>Führungsfortbildung</v>
      </c>
      <c r="H31" s="4" t="s">
        <v>11</v>
      </c>
    </row>
    <row r="32" spans="1:8" x14ac:dyDescent="0.2">
      <c r="A32" s="4" t="str">
        <f>"01.114/003 c/2025"</f>
        <v>01.114/003 c/2025</v>
      </c>
      <c r="B32" s="4" t="str">
        <f t="shared" si="3"/>
        <v>Führung I - Kommunikation und Führung</v>
      </c>
      <c r="C32" s="5">
        <v>45861</v>
      </c>
      <c r="D32" s="5">
        <v>45863</v>
      </c>
      <c r="E32" s="4"/>
      <c r="F32" s="6" t="s">
        <v>11</v>
      </c>
      <c r="G32" s="4" t="str">
        <f>"Führungsfortbildung"</f>
        <v>Führungsfortbildung</v>
      </c>
      <c r="H32" s="4" t="s">
        <v>11</v>
      </c>
    </row>
    <row r="33" spans="1:8" x14ac:dyDescent="0.2">
      <c r="A33" s="4" t="str">
        <f>"01.114/004/2025"</f>
        <v>01.114/004/2025</v>
      </c>
      <c r="B33" s="4" t="str">
        <f t="shared" si="3"/>
        <v>Führung I - Kommunikation und Führung</v>
      </c>
      <c r="C33" s="5">
        <v>45705</v>
      </c>
      <c r="D33" s="5">
        <v>45791</v>
      </c>
      <c r="E33" s="4" t="str">
        <f>"3x3 Tage"</f>
        <v>3x3 Tage</v>
      </c>
      <c r="F33" s="6">
        <v>2170</v>
      </c>
      <c r="G33" s="4"/>
      <c r="H33" s="4" t="s">
        <v>11</v>
      </c>
    </row>
    <row r="34" spans="1:8" x14ac:dyDescent="0.2">
      <c r="A34" s="4" t="str">
        <f>"01.114/004 a/2025"</f>
        <v>01.114/004 a/2025</v>
      </c>
      <c r="B34" s="4" t="str">
        <f t="shared" si="3"/>
        <v>Führung I - Kommunikation und Führung</v>
      </c>
      <c r="C34" s="5">
        <v>45705</v>
      </c>
      <c r="D34" s="5">
        <v>45707</v>
      </c>
      <c r="E34" s="4"/>
      <c r="F34" s="6" t="s">
        <v>11</v>
      </c>
      <c r="G34" s="4" t="str">
        <f>"Führungsfortbildung"</f>
        <v>Führungsfortbildung</v>
      </c>
      <c r="H34" s="4" t="s">
        <v>11</v>
      </c>
    </row>
    <row r="35" spans="1:8" x14ac:dyDescent="0.2">
      <c r="A35" s="4" t="str">
        <f>"01.114/004 b/2025"</f>
        <v>01.114/004 b/2025</v>
      </c>
      <c r="B35" s="4" t="str">
        <f t="shared" si="3"/>
        <v>Führung I - Kommunikation und Führung</v>
      </c>
      <c r="C35" s="5">
        <v>45756</v>
      </c>
      <c r="D35" s="5">
        <v>45758</v>
      </c>
      <c r="E35" s="4"/>
      <c r="F35" s="6" t="s">
        <v>11</v>
      </c>
      <c r="G35" s="4" t="str">
        <f>"Führungsfortbildung"</f>
        <v>Führungsfortbildung</v>
      </c>
      <c r="H35" s="4" t="s">
        <v>11</v>
      </c>
    </row>
    <row r="36" spans="1:8" x14ac:dyDescent="0.2">
      <c r="A36" s="4" t="str">
        <f>"01.114/004 c/2025"</f>
        <v>01.114/004 c/2025</v>
      </c>
      <c r="B36" s="4" t="str">
        <f t="shared" si="3"/>
        <v>Führung I - Kommunikation und Führung</v>
      </c>
      <c r="C36" s="5">
        <v>45789</v>
      </c>
      <c r="D36" s="5">
        <v>45791</v>
      </c>
      <c r="E36" s="4"/>
      <c r="F36" s="6" t="s">
        <v>11</v>
      </c>
      <c r="G36" s="4" t="str">
        <f>"Führungsfortbildung"</f>
        <v>Führungsfortbildung</v>
      </c>
      <c r="H36" s="4" t="s">
        <v>11</v>
      </c>
    </row>
    <row r="37" spans="1:8" x14ac:dyDescent="0.2">
      <c r="A37" s="4" t="str">
        <f>"01.114/005/2025"</f>
        <v>01.114/005/2025</v>
      </c>
      <c r="B37" s="4" t="str">
        <f t="shared" si="3"/>
        <v>Führung I - Kommunikation und Führung</v>
      </c>
      <c r="C37" s="5">
        <v>45707</v>
      </c>
      <c r="D37" s="5">
        <v>45847</v>
      </c>
      <c r="E37" s="4" t="str">
        <f>"3x3 Tage"</f>
        <v>3x3 Tage</v>
      </c>
      <c r="F37" s="6">
        <v>2170</v>
      </c>
      <c r="G37" s="4"/>
      <c r="H37" s="4" t="s">
        <v>11</v>
      </c>
    </row>
    <row r="38" spans="1:8" x14ac:dyDescent="0.2">
      <c r="A38" s="4" t="str">
        <f>"01.114/005 a/2025"</f>
        <v>01.114/005 a/2025</v>
      </c>
      <c r="B38" s="4" t="str">
        <f t="shared" si="3"/>
        <v>Führung I - Kommunikation und Führung</v>
      </c>
      <c r="C38" s="5">
        <v>45707</v>
      </c>
      <c r="D38" s="5">
        <v>45709</v>
      </c>
      <c r="E38" s="4"/>
      <c r="F38" s="6" t="s">
        <v>11</v>
      </c>
      <c r="G38" s="4" t="str">
        <f>"Führungsfortbildung"</f>
        <v>Führungsfortbildung</v>
      </c>
      <c r="H38" s="4" t="s">
        <v>11</v>
      </c>
    </row>
    <row r="39" spans="1:8" x14ac:dyDescent="0.2">
      <c r="A39" s="4" t="str">
        <f>"01.114/005 b/2025"</f>
        <v>01.114/005 b/2025</v>
      </c>
      <c r="B39" s="4" t="str">
        <f t="shared" si="3"/>
        <v>Führung I - Kommunikation und Führung</v>
      </c>
      <c r="C39" s="5">
        <v>45747</v>
      </c>
      <c r="D39" s="5">
        <v>45749</v>
      </c>
      <c r="E39" s="4"/>
      <c r="F39" s="6" t="s">
        <v>11</v>
      </c>
      <c r="G39" s="4" t="str">
        <f>"Führungsfortbildung"</f>
        <v>Führungsfortbildung</v>
      </c>
      <c r="H39" s="4" t="s">
        <v>11</v>
      </c>
    </row>
    <row r="40" spans="1:8" x14ac:dyDescent="0.2">
      <c r="A40" s="4" t="str">
        <f>"01.114/005 c/2025"</f>
        <v>01.114/005 c/2025</v>
      </c>
      <c r="B40" s="4" t="str">
        <f t="shared" si="3"/>
        <v>Führung I - Kommunikation und Führung</v>
      </c>
      <c r="C40" s="5">
        <v>45845</v>
      </c>
      <c r="D40" s="5">
        <v>45847</v>
      </c>
      <c r="E40" s="4"/>
      <c r="F40" s="6" t="s">
        <v>11</v>
      </c>
      <c r="G40" s="4" t="str">
        <f>"Führungsfortbildung"</f>
        <v>Führungsfortbildung</v>
      </c>
      <c r="H40" s="4" t="s">
        <v>11</v>
      </c>
    </row>
    <row r="41" spans="1:8" x14ac:dyDescent="0.2">
      <c r="A41" s="4" t="str">
        <f>"01.114/007/2025"</f>
        <v>01.114/007/2025</v>
      </c>
      <c r="B41" s="4" t="str">
        <f t="shared" si="3"/>
        <v>Führung I - Kommunikation und Führung</v>
      </c>
      <c r="C41" s="5">
        <v>45735</v>
      </c>
      <c r="D41" s="5">
        <v>45847</v>
      </c>
      <c r="E41" s="4" t="str">
        <f>"3x3 Tage"</f>
        <v>3x3 Tage</v>
      </c>
      <c r="F41" s="6">
        <v>2170</v>
      </c>
      <c r="G41" s="4"/>
      <c r="H41" s="4" t="s">
        <v>11</v>
      </c>
    </row>
    <row r="42" spans="1:8" x14ac:dyDescent="0.2">
      <c r="A42" s="4" t="str">
        <f>"01.114/007 a/2025"</f>
        <v>01.114/007 a/2025</v>
      </c>
      <c r="B42" s="4" t="str">
        <f t="shared" si="3"/>
        <v>Führung I - Kommunikation und Führung</v>
      </c>
      <c r="C42" s="5">
        <v>45735</v>
      </c>
      <c r="D42" s="5">
        <v>45737</v>
      </c>
      <c r="E42" s="4"/>
      <c r="F42" s="6" t="s">
        <v>11</v>
      </c>
      <c r="G42" s="4" t="str">
        <f>"Führungsfortbildung"</f>
        <v>Führungsfortbildung</v>
      </c>
      <c r="H42" s="4" t="s">
        <v>11</v>
      </c>
    </row>
    <row r="43" spans="1:8" x14ac:dyDescent="0.2">
      <c r="A43" s="4" t="str">
        <f>"01.114/007 b/2025"</f>
        <v>01.114/007 b/2025</v>
      </c>
      <c r="B43" s="4" t="str">
        <f t="shared" si="3"/>
        <v>Führung I - Kommunikation und Führung</v>
      </c>
      <c r="C43" s="5">
        <v>45769</v>
      </c>
      <c r="D43" s="5">
        <v>45771</v>
      </c>
      <c r="E43" s="4"/>
      <c r="F43" s="6" t="s">
        <v>11</v>
      </c>
      <c r="G43" s="4" t="str">
        <f>"Führungsfortbildung"</f>
        <v>Führungsfortbildung</v>
      </c>
      <c r="H43" s="4" t="s">
        <v>11</v>
      </c>
    </row>
    <row r="44" spans="1:8" x14ac:dyDescent="0.2">
      <c r="A44" s="4" t="str">
        <f>"01.114/007 c/2025"</f>
        <v>01.114/007 c/2025</v>
      </c>
      <c r="B44" s="4" t="str">
        <f t="shared" si="3"/>
        <v>Führung I - Kommunikation und Führung</v>
      </c>
      <c r="C44" s="5">
        <v>45845</v>
      </c>
      <c r="D44" s="5">
        <v>45847</v>
      </c>
      <c r="E44" s="4"/>
      <c r="F44" s="6" t="s">
        <v>11</v>
      </c>
      <c r="G44" s="4" t="str">
        <f>"Führungsfortbildung"</f>
        <v>Führungsfortbildung</v>
      </c>
      <c r="H44" s="4" t="s">
        <v>11</v>
      </c>
    </row>
    <row r="45" spans="1:8" x14ac:dyDescent="0.2">
      <c r="A45" s="4" t="str">
        <f>"01.114/008/2025"</f>
        <v>01.114/008/2025</v>
      </c>
      <c r="B45" s="4" t="str">
        <f t="shared" si="3"/>
        <v>Führung I - Kommunikation und Führung</v>
      </c>
      <c r="C45" s="5">
        <v>45754</v>
      </c>
      <c r="D45" s="5">
        <v>45856</v>
      </c>
      <c r="E45" s="4" t="str">
        <f>"3x3 Tage"</f>
        <v>3x3 Tage</v>
      </c>
      <c r="F45" s="6">
        <v>2170</v>
      </c>
      <c r="G45" s="4"/>
      <c r="H45" s="4" t="s">
        <v>11</v>
      </c>
    </row>
    <row r="46" spans="1:8" x14ac:dyDescent="0.2">
      <c r="A46" s="4" t="str">
        <f>"01.114/008 a/2025"</f>
        <v>01.114/008 a/2025</v>
      </c>
      <c r="B46" s="4" t="str">
        <f t="shared" si="3"/>
        <v>Führung I - Kommunikation und Führung</v>
      </c>
      <c r="C46" s="5">
        <v>45754</v>
      </c>
      <c r="D46" s="5">
        <v>45756</v>
      </c>
      <c r="E46" s="4"/>
      <c r="F46" s="6" t="s">
        <v>11</v>
      </c>
      <c r="G46" s="4" t="str">
        <f>"Führungsfortbildung"</f>
        <v>Führungsfortbildung</v>
      </c>
      <c r="H46" s="4" t="s">
        <v>11</v>
      </c>
    </row>
    <row r="47" spans="1:8" x14ac:dyDescent="0.2">
      <c r="A47" s="4" t="str">
        <f>"01.114/008 b/2025"</f>
        <v>01.114/008 b/2025</v>
      </c>
      <c r="B47" s="4" t="str">
        <f t="shared" si="3"/>
        <v>Führung I - Kommunikation und Führung</v>
      </c>
      <c r="C47" s="5">
        <v>45810</v>
      </c>
      <c r="D47" s="5">
        <v>45812</v>
      </c>
      <c r="E47" s="4"/>
      <c r="F47" s="6" t="s">
        <v>11</v>
      </c>
      <c r="G47" s="4" t="str">
        <f>"Führungsfortbildung"</f>
        <v>Führungsfortbildung</v>
      </c>
      <c r="H47" s="4" t="s">
        <v>11</v>
      </c>
    </row>
    <row r="48" spans="1:8" x14ac:dyDescent="0.2">
      <c r="A48" s="4" t="str">
        <f>"01.114/008 c/2025"</f>
        <v>01.114/008 c/2025</v>
      </c>
      <c r="B48" s="4" t="str">
        <f t="shared" si="3"/>
        <v>Führung I - Kommunikation und Führung</v>
      </c>
      <c r="C48" s="5">
        <v>45854</v>
      </c>
      <c r="D48" s="5">
        <v>45856</v>
      </c>
      <c r="E48" s="4"/>
      <c r="F48" s="6" t="s">
        <v>11</v>
      </c>
      <c r="G48" s="4" t="str">
        <f>"Führungsfortbildung"</f>
        <v>Führungsfortbildung</v>
      </c>
      <c r="H48" s="4" t="s">
        <v>11</v>
      </c>
    </row>
    <row r="49" spans="1:8" x14ac:dyDescent="0.2">
      <c r="A49" s="4" t="str">
        <f>"01.114/009/2025"</f>
        <v>01.114/009/2025</v>
      </c>
      <c r="B49" s="4" t="str">
        <f t="shared" si="3"/>
        <v>Führung I - Kommunikation und Führung</v>
      </c>
      <c r="C49" s="5">
        <v>45761</v>
      </c>
      <c r="D49" s="5">
        <v>45842</v>
      </c>
      <c r="E49" s="4" t="str">
        <f>"3x3 Tage"</f>
        <v>3x3 Tage</v>
      </c>
      <c r="F49" s="6">
        <v>2170</v>
      </c>
      <c r="G49" s="4"/>
      <c r="H49" s="4" t="s">
        <v>11</v>
      </c>
    </row>
    <row r="50" spans="1:8" x14ac:dyDescent="0.2">
      <c r="A50" s="4" t="str">
        <f>"01.114/009 a/2025"</f>
        <v>01.114/009 a/2025</v>
      </c>
      <c r="B50" s="4" t="str">
        <f t="shared" si="3"/>
        <v>Führung I - Kommunikation und Führung</v>
      </c>
      <c r="C50" s="5">
        <v>45761</v>
      </c>
      <c r="D50" s="5">
        <v>45763</v>
      </c>
      <c r="E50" s="4"/>
      <c r="F50" s="6" t="s">
        <v>11</v>
      </c>
      <c r="G50" s="4" t="str">
        <f>"Führungsfortbildung"</f>
        <v>Führungsfortbildung</v>
      </c>
      <c r="H50" s="4" t="s">
        <v>11</v>
      </c>
    </row>
    <row r="51" spans="1:8" x14ac:dyDescent="0.2">
      <c r="A51" s="4" t="str">
        <f>"01.114/009 b/2025"</f>
        <v>01.114/009 b/2025</v>
      </c>
      <c r="B51" s="4" t="str">
        <f t="shared" si="3"/>
        <v>Führung I - Kommunikation und Führung</v>
      </c>
      <c r="C51" s="5">
        <v>45789</v>
      </c>
      <c r="D51" s="5">
        <v>45791</v>
      </c>
      <c r="E51" s="4"/>
      <c r="F51" s="6" t="s">
        <v>11</v>
      </c>
      <c r="G51" s="4" t="str">
        <f>"Führungsfortbildung"</f>
        <v>Führungsfortbildung</v>
      </c>
      <c r="H51" s="4" t="s">
        <v>11</v>
      </c>
    </row>
    <row r="52" spans="1:8" x14ac:dyDescent="0.2">
      <c r="A52" s="4" t="str">
        <f>"01.114/009 c/2025"</f>
        <v>01.114/009 c/2025</v>
      </c>
      <c r="B52" s="4" t="str">
        <f t="shared" si="3"/>
        <v>Führung I - Kommunikation und Führung</v>
      </c>
      <c r="C52" s="5">
        <v>45840</v>
      </c>
      <c r="D52" s="5">
        <v>45842</v>
      </c>
      <c r="E52" s="4"/>
      <c r="F52" s="6" t="s">
        <v>11</v>
      </c>
      <c r="G52" s="4" t="str">
        <f>"Führungsfortbildung"</f>
        <v>Führungsfortbildung</v>
      </c>
      <c r="H52" s="4" t="s">
        <v>11</v>
      </c>
    </row>
    <row r="53" spans="1:8" x14ac:dyDescent="0.2">
      <c r="A53" s="4" t="str">
        <f>"01.114/010/2025"</f>
        <v>01.114/010/2025</v>
      </c>
      <c r="B53" s="4" t="str">
        <f t="shared" si="3"/>
        <v>Führung I - Kommunikation und Führung</v>
      </c>
      <c r="C53" s="5">
        <v>45769</v>
      </c>
      <c r="D53" s="5">
        <v>45868</v>
      </c>
      <c r="E53" s="4" t="str">
        <f>"3x3 Tage"</f>
        <v>3x3 Tage</v>
      </c>
      <c r="F53" s="6">
        <v>2170</v>
      </c>
      <c r="G53" s="4"/>
      <c r="H53" s="4" t="s">
        <v>11</v>
      </c>
    </row>
    <row r="54" spans="1:8" x14ac:dyDescent="0.2">
      <c r="A54" s="4" t="str">
        <f>"01.114/010 a/2025"</f>
        <v>01.114/010 a/2025</v>
      </c>
      <c r="B54" s="4" t="str">
        <f t="shared" si="3"/>
        <v>Führung I - Kommunikation und Führung</v>
      </c>
      <c r="C54" s="5">
        <v>45769</v>
      </c>
      <c r="D54" s="5">
        <v>45771</v>
      </c>
      <c r="E54" s="4"/>
      <c r="F54" s="6" t="s">
        <v>11</v>
      </c>
      <c r="G54" s="4" t="str">
        <f>"Führungsfortbildung"</f>
        <v>Führungsfortbildung</v>
      </c>
      <c r="H54" s="4" t="s">
        <v>11</v>
      </c>
    </row>
    <row r="55" spans="1:8" x14ac:dyDescent="0.2">
      <c r="A55" s="4" t="str">
        <f>"01.114/010 b/2025"</f>
        <v>01.114/010 b/2025</v>
      </c>
      <c r="B55" s="4" t="str">
        <f t="shared" si="3"/>
        <v>Führung I - Kommunikation und Führung</v>
      </c>
      <c r="C55" s="5">
        <v>45824</v>
      </c>
      <c r="D55" s="5">
        <v>45826</v>
      </c>
      <c r="E55" s="4"/>
      <c r="F55" s="6" t="s">
        <v>11</v>
      </c>
      <c r="G55" s="4" t="str">
        <f>"Führungsfortbildung"</f>
        <v>Führungsfortbildung</v>
      </c>
      <c r="H55" s="4" t="s">
        <v>11</v>
      </c>
    </row>
    <row r="56" spans="1:8" x14ac:dyDescent="0.2">
      <c r="A56" s="4" t="str">
        <f>"01.114/010 c/2025"</f>
        <v>01.114/010 c/2025</v>
      </c>
      <c r="B56" s="4" t="str">
        <f t="shared" si="3"/>
        <v>Führung I - Kommunikation und Führung</v>
      </c>
      <c r="C56" s="5">
        <v>45866</v>
      </c>
      <c r="D56" s="5">
        <v>45868</v>
      </c>
      <c r="E56" s="4"/>
      <c r="F56" s="6" t="s">
        <v>11</v>
      </c>
      <c r="G56" s="4" t="str">
        <f>"Führungsfortbildung"</f>
        <v>Führungsfortbildung</v>
      </c>
      <c r="H56" s="4" t="s">
        <v>11</v>
      </c>
    </row>
    <row r="57" spans="1:8" x14ac:dyDescent="0.2">
      <c r="A57" s="4" t="str">
        <f>"01.114/011/2025"</f>
        <v>01.114/011/2025</v>
      </c>
      <c r="B57" s="4" t="str">
        <f t="shared" si="3"/>
        <v>Führung I - Kommunikation und Führung</v>
      </c>
      <c r="C57" s="5">
        <v>45754</v>
      </c>
      <c r="D57" s="5">
        <v>45905</v>
      </c>
      <c r="E57" s="4" t="str">
        <f>"3x3 Tage"</f>
        <v>3x3 Tage</v>
      </c>
      <c r="F57" s="6">
        <v>2170</v>
      </c>
      <c r="G57" s="4"/>
      <c r="H57" s="4" t="s">
        <v>11</v>
      </c>
    </row>
    <row r="58" spans="1:8" x14ac:dyDescent="0.2">
      <c r="A58" s="4" t="str">
        <f>"01.114/011 a/2025"</f>
        <v>01.114/011 a/2025</v>
      </c>
      <c r="B58" s="4" t="str">
        <f t="shared" si="3"/>
        <v>Führung I - Kommunikation und Führung</v>
      </c>
      <c r="C58" s="5">
        <v>45754</v>
      </c>
      <c r="D58" s="5">
        <v>45756</v>
      </c>
      <c r="E58" s="4"/>
      <c r="F58" s="6" t="s">
        <v>11</v>
      </c>
      <c r="G58" s="4" t="str">
        <f>"Führungsfortbildung"</f>
        <v>Führungsfortbildung</v>
      </c>
      <c r="H58" s="4" t="s">
        <v>11</v>
      </c>
    </row>
    <row r="59" spans="1:8" x14ac:dyDescent="0.2">
      <c r="A59" s="4" t="str">
        <f>"01.114/011 b/2025"</f>
        <v>01.114/011 b/2025</v>
      </c>
      <c r="B59" s="4" t="str">
        <f t="shared" si="3"/>
        <v>Führung I - Kommunikation und Führung</v>
      </c>
      <c r="C59" s="5">
        <v>45867</v>
      </c>
      <c r="D59" s="5">
        <v>45869</v>
      </c>
      <c r="E59" s="4"/>
      <c r="F59" s="6" t="s">
        <v>11</v>
      </c>
      <c r="G59" s="4" t="str">
        <f>"Führungsfortbildung"</f>
        <v>Führungsfortbildung</v>
      </c>
      <c r="H59" s="4" t="s">
        <v>11</v>
      </c>
    </row>
    <row r="60" spans="1:8" x14ac:dyDescent="0.2">
      <c r="A60" s="4" t="str">
        <f>"01.114/011 c/2025"</f>
        <v>01.114/011 c/2025</v>
      </c>
      <c r="B60" s="4" t="str">
        <f t="shared" si="3"/>
        <v>Führung I - Kommunikation und Führung</v>
      </c>
      <c r="C60" s="5">
        <v>45903</v>
      </c>
      <c r="D60" s="5">
        <v>45905</v>
      </c>
      <c r="E60" s="4"/>
      <c r="F60" s="6" t="s">
        <v>11</v>
      </c>
      <c r="G60" s="4" t="str">
        <f>"Führungsfortbildung"</f>
        <v>Führungsfortbildung</v>
      </c>
      <c r="H60" s="4" t="s">
        <v>11</v>
      </c>
    </row>
    <row r="61" spans="1:8" x14ac:dyDescent="0.2">
      <c r="A61" s="4" t="str">
        <f>"01.114/012/2025"</f>
        <v>01.114/012/2025</v>
      </c>
      <c r="B61" s="4" t="str">
        <f t="shared" si="3"/>
        <v>Führung I - Kommunikation und Führung</v>
      </c>
      <c r="C61" s="5">
        <v>45803</v>
      </c>
      <c r="D61" s="5">
        <v>45924</v>
      </c>
      <c r="E61" s="4" t="str">
        <f>"3x3 Tage"</f>
        <v>3x3 Tage</v>
      </c>
      <c r="F61" s="6">
        <v>2170</v>
      </c>
      <c r="G61" s="4"/>
      <c r="H61" s="4" t="s">
        <v>11</v>
      </c>
    </row>
    <row r="62" spans="1:8" x14ac:dyDescent="0.2">
      <c r="A62" s="4" t="str">
        <f>"01.114/012 a/2025"</f>
        <v>01.114/012 a/2025</v>
      </c>
      <c r="B62" s="4" t="str">
        <f t="shared" si="3"/>
        <v>Führung I - Kommunikation und Führung</v>
      </c>
      <c r="C62" s="5">
        <v>45803</v>
      </c>
      <c r="D62" s="5">
        <v>45805</v>
      </c>
      <c r="E62" s="4"/>
      <c r="F62" s="6" t="s">
        <v>11</v>
      </c>
      <c r="G62" s="4" t="str">
        <f>"Führungsfortbildung"</f>
        <v>Führungsfortbildung</v>
      </c>
      <c r="H62" s="4" t="s">
        <v>11</v>
      </c>
    </row>
    <row r="63" spans="1:8" x14ac:dyDescent="0.2">
      <c r="A63" s="4" t="str">
        <f>"01.114/012 b/2025"</f>
        <v>01.114/012 b/2025</v>
      </c>
      <c r="B63" s="4" t="str">
        <f t="shared" si="3"/>
        <v>Führung I - Kommunikation und Führung</v>
      </c>
      <c r="C63" s="5">
        <v>45859</v>
      </c>
      <c r="D63" s="5">
        <v>45861</v>
      </c>
      <c r="E63" s="4"/>
      <c r="F63" s="6" t="s">
        <v>11</v>
      </c>
      <c r="G63" s="4" t="str">
        <f>"Führungsfortbildung"</f>
        <v>Führungsfortbildung</v>
      </c>
      <c r="H63" s="4" t="s">
        <v>11</v>
      </c>
    </row>
    <row r="64" spans="1:8" x14ac:dyDescent="0.2">
      <c r="A64" s="4" t="str">
        <f>"01.114/012 c/2025"</f>
        <v>01.114/012 c/2025</v>
      </c>
      <c r="B64" s="4" t="str">
        <f t="shared" si="3"/>
        <v>Führung I - Kommunikation und Führung</v>
      </c>
      <c r="C64" s="5">
        <v>45922</v>
      </c>
      <c r="D64" s="5">
        <v>45924</v>
      </c>
      <c r="E64" s="4"/>
      <c r="F64" s="6" t="s">
        <v>11</v>
      </c>
      <c r="G64" s="4" t="str">
        <f>"Führungsfortbildung"</f>
        <v>Führungsfortbildung</v>
      </c>
      <c r="H64" s="4" t="s">
        <v>11</v>
      </c>
    </row>
    <row r="65" spans="1:8" x14ac:dyDescent="0.2">
      <c r="A65" s="4" t="str">
        <f>"01.114/013/2025"</f>
        <v>01.114/013/2025</v>
      </c>
      <c r="B65" s="4" t="str">
        <f t="shared" si="3"/>
        <v>Führung I - Kommunikation und Führung</v>
      </c>
      <c r="C65" s="5">
        <v>45812</v>
      </c>
      <c r="D65" s="5">
        <v>45910</v>
      </c>
      <c r="E65" s="4" t="str">
        <f>"3x3 Tage"</f>
        <v>3x3 Tage</v>
      </c>
      <c r="F65" s="6">
        <v>2170</v>
      </c>
      <c r="G65" s="4"/>
      <c r="H65" s="4" t="s">
        <v>11</v>
      </c>
    </row>
    <row r="66" spans="1:8" x14ac:dyDescent="0.2">
      <c r="A66" s="4" t="str">
        <f>"01.114/013 a/2025"</f>
        <v>01.114/013 a/2025</v>
      </c>
      <c r="B66" s="4" t="str">
        <f t="shared" si="3"/>
        <v>Führung I - Kommunikation und Führung</v>
      </c>
      <c r="C66" s="5">
        <v>45812</v>
      </c>
      <c r="D66" s="5">
        <v>45814</v>
      </c>
      <c r="E66" s="4"/>
      <c r="F66" s="6" t="s">
        <v>11</v>
      </c>
      <c r="G66" s="4" t="str">
        <f>"Führungsfortbildung"</f>
        <v>Führungsfortbildung</v>
      </c>
      <c r="H66" s="4" t="s">
        <v>11</v>
      </c>
    </row>
    <row r="67" spans="1:8" x14ac:dyDescent="0.2">
      <c r="A67" s="4" t="str">
        <f>"01.114/013 b/2025"</f>
        <v>01.114/013 b/2025</v>
      </c>
      <c r="B67" s="4" t="str">
        <f t="shared" si="3"/>
        <v>Führung I - Kommunikation und Führung</v>
      </c>
      <c r="C67" s="5">
        <v>45852</v>
      </c>
      <c r="D67" s="5">
        <v>45854</v>
      </c>
      <c r="E67" s="4"/>
      <c r="F67" s="6" t="s">
        <v>11</v>
      </c>
      <c r="G67" s="4" t="str">
        <f>"Führungsfortbildung"</f>
        <v>Führungsfortbildung</v>
      </c>
      <c r="H67" s="4" t="s">
        <v>11</v>
      </c>
    </row>
    <row r="68" spans="1:8" x14ac:dyDescent="0.2">
      <c r="A68" s="4" t="str">
        <f>"01.114/013 c/2025"</f>
        <v>01.114/013 c/2025</v>
      </c>
      <c r="B68" s="4" t="str">
        <f t="shared" si="3"/>
        <v>Führung I - Kommunikation und Führung</v>
      </c>
      <c r="C68" s="5">
        <v>45908</v>
      </c>
      <c r="D68" s="5">
        <v>45910</v>
      </c>
      <c r="E68" s="4"/>
      <c r="F68" s="6" t="s">
        <v>11</v>
      </c>
      <c r="G68" s="4" t="str">
        <f>"Führungsfortbildung"</f>
        <v>Führungsfortbildung</v>
      </c>
      <c r="H68" s="4" t="s">
        <v>11</v>
      </c>
    </row>
    <row r="69" spans="1:8" x14ac:dyDescent="0.2">
      <c r="A69" s="4" t="str">
        <f>"01.114/014/2025"</f>
        <v>01.114/014/2025</v>
      </c>
      <c r="B69" s="4" t="str">
        <f t="shared" si="3"/>
        <v>Führung I - Kommunikation und Führung</v>
      </c>
      <c r="C69" s="5">
        <v>45819</v>
      </c>
      <c r="D69" s="5">
        <v>45994</v>
      </c>
      <c r="E69" s="4" t="str">
        <f>"3x3 Tage"</f>
        <v>3x3 Tage</v>
      </c>
      <c r="F69" s="6">
        <v>2170</v>
      </c>
      <c r="G69" s="4"/>
      <c r="H69" s="4" t="s">
        <v>11</v>
      </c>
    </row>
    <row r="70" spans="1:8" x14ac:dyDescent="0.2">
      <c r="A70" s="4" t="str">
        <f>"01.114/014 a/2025"</f>
        <v>01.114/014 a/2025</v>
      </c>
      <c r="B70" s="4" t="str">
        <f t="shared" si="3"/>
        <v>Führung I - Kommunikation und Führung</v>
      </c>
      <c r="C70" s="5">
        <v>45819</v>
      </c>
      <c r="D70" s="5">
        <v>45821</v>
      </c>
      <c r="E70" s="4"/>
      <c r="F70" s="6" t="s">
        <v>11</v>
      </c>
      <c r="G70" s="4" t="str">
        <f>"Führungsfortbildung"</f>
        <v>Führungsfortbildung</v>
      </c>
      <c r="H70" s="4" t="s">
        <v>11</v>
      </c>
    </row>
    <row r="71" spans="1:8" x14ac:dyDescent="0.2">
      <c r="A71" s="4" t="str">
        <f>"01.114/014 b/2025"</f>
        <v>01.114/014 b/2025</v>
      </c>
      <c r="B71" s="4" t="str">
        <f t="shared" si="3"/>
        <v>Führung I - Kommunikation und Führung</v>
      </c>
      <c r="C71" s="5">
        <v>45924</v>
      </c>
      <c r="D71" s="5">
        <v>45926</v>
      </c>
      <c r="E71" s="4"/>
      <c r="F71" s="6" t="s">
        <v>11</v>
      </c>
      <c r="G71" s="4" t="str">
        <f>"Führungsfortbildung"</f>
        <v>Führungsfortbildung</v>
      </c>
      <c r="H71" s="4" t="s">
        <v>11</v>
      </c>
    </row>
    <row r="72" spans="1:8" x14ac:dyDescent="0.2">
      <c r="A72" s="4" t="str">
        <f>"01.114/014 c/2025"</f>
        <v>01.114/014 c/2025</v>
      </c>
      <c r="B72" s="4" t="str">
        <f t="shared" si="3"/>
        <v>Führung I - Kommunikation und Führung</v>
      </c>
      <c r="C72" s="5">
        <v>45992</v>
      </c>
      <c r="D72" s="5">
        <v>45994</v>
      </c>
      <c r="E72" s="4"/>
      <c r="F72" s="6" t="s">
        <v>11</v>
      </c>
      <c r="G72" s="4" t="str">
        <f>"Führungsfortbildung"</f>
        <v>Führungsfortbildung</v>
      </c>
      <c r="H72" s="4" t="s">
        <v>11</v>
      </c>
    </row>
    <row r="73" spans="1:8" x14ac:dyDescent="0.2">
      <c r="A73" s="4" t="str">
        <f>"01.114/015/2025"</f>
        <v>01.114/015/2025</v>
      </c>
      <c r="B73" s="4" t="str">
        <f t="shared" si="3"/>
        <v>Führung I - Kommunikation und Führung</v>
      </c>
      <c r="C73" s="5">
        <v>45831</v>
      </c>
      <c r="D73" s="5">
        <v>45931</v>
      </c>
      <c r="E73" s="4" t="str">
        <f>"3x3 Tage"</f>
        <v>3x3 Tage</v>
      </c>
      <c r="F73" s="6">
        <v>2170</v>
      </c>
      <c r="G73" s="4"/>
      <c r="H73" s="4" t="s">
        <v>11</v>
      </c>
    </row>
    <row r="74" spans="1:8" x14ac:dyDescent="0.2">
      <c r="A74" s="4" t="str">
        <f>"01.114/015 a/2025"</f>
        <v>01.114/015 a/2025</v>
      </c>
      <c r="B74" s="4" t="str">
        <f t="shared" si="3"/>
        <v>Führung I - Kommunikation und Führung</v>
      </c>
      <c r="C74" s="5">
        <v>45831</v>
      </c>
      <c r="D74" s="5">
        <v>45833</v>
      </c>
      <c r="E74" s="4"/>
      <c r="F74" s="6" t="s">
        <v>11</v>
      </c>
      <c r="G74" s="4" t="str">
        <f>"Führungsfortbildung"</f>
        <v>Führungsfortbildung</v>
      </c>
      <c r="H74" s="4" t="s">
        <v>11</v>
      </c>
    </row>
    <row r="75" spans="1:8" x14ac:dyDescent="0.2">
      <c r="A75" s="4" t="str">
        <f>"01.114/015 b/2025"</f>
        <v>01.114/015 b/2025</v>
      </c>
      <c r="B75" s="4" t="str">
        <f t="shared" si="3"/>
        <v>Führung I - Kommunikation und Führung</v>
      </c>
      <c r="C75" s="5">
        <v>45908</v>
      </c>
      <c r="D75" s="5">
        <v>45910</v>
      </c>
      <c r="E75" s="4"/>
      <c r="F75" s="6" t="s">
        <v>11</v>
      </c>
      <c r="G75" s="4" t="str">
        <f>"Führungsfortbildung"</f>
        <v>Führungsfortbildung</v>
      </c>
      <c r="H75" s="4" t="s">
        <v>11</v>
      </c>
    </row>
    <row r="76" spans="1:8" x14ac:dyDescent="0.2">
      <c r="A76" s="4" t="str">
        <f>"01.114/015 c/2025"</f>
        <v>01.114/015 c/2025</v>
      </c>
      <c r="B76" s="4" t="str">
        <f t="shared" si="3"/>
        <v>Führung I - Kommunikation und Führung</v>
      </c>
      <c r="C76" s="5">
        <v>45929</v>
      </c>
      <c r="D76" s="5">
        <v>45931</v>
      </c>
      <c r="E76" s="4"/>
      <c r="F76" s="6" t="s">
        <v>11</v>
      </c>
      <c r="G76" s="4" t="str">
        <f>"Führungsfortbildung"</f>
        <v>Führungsfortbildung</v>
      </c>
      <c r="H76" s="4" t="s">
        <v>11</v>
      </c>
    </row>
    <row r="77" spans="1:8" x14ac:dyDescent="0.2">
      <c r="A77" s="4" t="str">
        <f>"01.114/016/2025"</f>
        <v>01.114/016/2025</v>
      </c>
      <c r="B77" s="4" t="str">
        <f t="shared" si="3"/>
        <v>Führung I - Kommunikation und Führung</v>
      </c>
      <c r="C77" s="5">
        <v>45838</v>
      </c>
      <c r="D77" s="5">
        <v>45954</v>
      </c>
      <c r="E77" s="4" t="str">
        <f>"3x3 Tage"</f>
        <v>3x3 Tage</v>
      </c>
      <c r="F77" s="6">
        <v>2170</v>
      </c>
      <c r="G77" s="4"/>
      <c r="H77" s="4" t="s">
        <v>11</v>
      </c>
    </row>
    <row r="78" spans="1:8" x14ac:dyDescent="0.2">
      <c r="A78" s="4" t="str">
        <f>"01.114/016 a/2025"</f>
        <v>01.114/016 a/2025</v>
      </c>
      <c r="B78" s="4" t="str">
        <f t="shared" si="3"/>
        <v>Führung I - Kommunikation und Führung</v>
      </c>
      <c r="C78" s="5">
        <v>45838</v>
      </c>
      <c r="D78" s="5">
        <v>45840</v>
      </c>
      <c r="E78" s="4"/>
      <c r="F78" s="6" t="s">
        <v>11</v>
      </c>
      <c r="G78" s="4" t="str">
        <f>"Führungsfortbildung"</f>
        <v>Führungsfortbildung</v>
      </c>
      <c r="H78" s="4" t="s">
        <v>11</v>
      </c>
    </row>
    <row r="79" spans="1:8" x14ac:dyDescent="0.2">
      <c r="A79" s="4" t="str">
        <f>"01.114/016 b/2025"</f>
        <v>01.114/016 b/2025</v>
      </c>
      <c r="B79" s="4" t="str">
        <f t="shared" si="3"/>
        <v>Führung I - Kommunikation und Führung</v>
      </c>
      <c r="C79" s="5">
        <v>45922</v>
      </c>
      <c r="D79" s="5">
        <v>45924</v>
      </c>
      <c r="E79" s="4"/>
      <c r="F79" s="6" t="s">
        <v>11</v>
      </c>
      <c r="G79" s="4" t="str">
        <f>"Führungsfortbildung"</f>
        <v>Führungsfortbildung</v>
      </c>
      <c r="H79" s="4" t="s">
        <v>11</v>
      </c>
    </row>
    <row r="80" spans="1:8" x14ac:dyDescent="0.2">
      <c r="A80" s="4" t="str">
        <f>"01.114/016 c/2025"</f>
        <v>01.114/016 c/2025</v>
      </c>
      <c r="B80" s="4" t="str">
        <f t="shared" si="3"/>
        <v>Führung I - Kommunikation und Führung</v>
      </c>
      <c r="C80" s="5">
        <v>45952</v>
      </c>
      <c r="D80" s="5">
        <v>45954</v>
      </c>
      <c r="E80" s="4"/>
      <c r="F80" s="6" t="s">
        <v>11</v>
      </c>
      <c r="G80" s="4" t="str">
        <f>"Führungsfortbildung"</f>
        <v>Führungsfortbildung</v>
      </c>
      <c r="H80" s="4" t="s">
        <v>11</v>
      </c>
    </row>
    <row r="81" spans="1:8" x14ac:dyDescent="0.2">
      <c r="A81" s="4" t="str">
        <f>"01.114/017/2025"</f>
        <v>01.114/017/2025</v>
      </c>
      <c r="B81" s="4" t="str">
        <f>"Führung I - Kommunikation und Führung - Blended Learning"</f>
        <v>Führung I - Kommunikation und Führung - Blended Learning</v>
      </c>
      <c r="C81" s="5">
        <v>45861</v>
      </c>
      <c r="D81" s="5">
        <v>45973</v>
      </c>
      <c r="E81" s="4" t="str">
        <f>"3x3 Tage"</f>
        <v>3x3 Tage</v>
      </c>
      <c r="F81" s="6">
        <v>2170</v>
      </c>
      <c r="G81" s="4"/>
      <c r="H81" s="4" t="s">
        <v>11</v>
      </c>
    </row>
    <row r="82" spans="1:8" x14ac:dyDescent="0.2">
      <c r="A82" s="4" t="str">
        <f>"01.114/017 a/2025"</f>
        <v>01.114/017 a/2025</v>
      </c>
      <c r="B82" s="4" t="str">
        <f>"Führung I - Kommunikation und Führung"</f>
        <v>Führung I - Kommunikation und Führung</v>
      </c>
      <c r="C82" s="5">
        <v>45861</v>
      </c>
      <c r="D82" s="5">
        <v>45863</v>
      </c>
      <c r="E82" s="4"/>
      <c r="F82" s="6" t="s">
        <v>11</v>
      </c>
      <c r="G82" s="4" t="str">
        <f>"Führungsfortbildung"</f>
        <v>Führungsfortbildung</v>
      </c>
      <c r="H82" s="4" t="s">
        <v>11</v>
      </c>
    </row>
    <row r="83" spans="1:8" x14ac:dyDescent="0.2">
      <c r="A83" s="4" t="str">
        <f>"01.114/017 b/2025"</f>
        <v>01.114/017 b/2025</v>
      </c>
      <c r="B83" s="4" t="str">
        <f>"Führung I - Kommunikation und Führung - Online"</f>
        <v>Führung I - Kommunikation und Führung - Online</v>
      </c>
      <c r="C83" s="5">
        <v>45922</v>
      </c>
      <c r="D83" s="5">
        <v>45924</v>
      </c>
      <c r="E83" s="4"/>
      <c r="F83" s="6" t="s">
        <v>11</v>
      </c>
      <c r="G83" s="4" t="str">
        <f>"Führungsfortbildung"</f>
        <v>Führungsfortbildung</v>
      </c>
      <c r="H83" s="4" t="s">
        <v>11</v>
      </c>
    </row>
    <row r="84" spans="1:8" x14ac:dyDescent="0.2">
      <c r="A84" s="4" t="str">
        <f>"01.114/017 c/2025"</f>
        <v>01.114/017 c/2025</v>
      </c>
      <c r="B84" s="4" t="str">
        <f>"Führung I - Kommunikation und Führung - Online"</f>
        <v>Führung I - Kommunikation und Führung - Online</v>
      </c>
      <c r="C84" s="5">
        <v>45971</v>
      </c>
      <c r="D84" s="5">
        <v>45973</v>
      </c>
      <c r="E84" s="4"/>
      <c r="F84" s="6" t="s">
        <v>11</v>
      </c>
      <c r="G84" s="4" t="str">
        <f>"Führungsfortbildung"</f>
        <v>Führungsfortbildung</v>
      </c>
      <c r="H84" s="4" t="s">
        <v>11</v>
      </c>
    </row>
    <row r="85" spans="1:8" x14ac:dyDescent="0.2">
      <c r="A85" s="4" t="str">
        <f>"01.114/018/2025"</f>
        <v>01.114/018/2025</v>
      </c>
      <c r="B85" s="4" t="str">
        <f t="shared" ref="B85:B108" si="4">"Führung I - Kommunikation und Führung"</f>
        <v>Führung I - Kommunikation und Führung</v>
      </c>
      <c r="C85" s="5">
        <v>45901</v>
      </c>
      <c r="D85" s="5">
        <v>45994</v>
      </c>
      <c r="E85" s="4" t="str">
        <f>"3x3 Tage"</f>
        <v>3x3 Tage</v>
      </c>
      <c r="F85" s="6">
        <v>2170</v>
      </c>
      <c r="G85" s="4"/>
      <c r="H85" s="4" t="s">
        <v>11</v>
      </c>
    </row>
    <row r="86" spans="1:8" x14ac:dyDescent="0.2">
      <c r="A86" s="4" t="str">
        <f>"01.114/018 a/2025"</f>
        <v>01.114/018 a/2025</v>
      </c>
      <c r="B86" s="4" t="str">
        <f t="shared" si="4"/>
        <v>Führung I - Kommunikation und Führung</v>
      </c>
      <c r="C86" s="5">
        <v>45901</v>
      </c>
      <c r="D86" s="5">
        <v>45903</v>
      </c>
      <c r="E86" s="4"/>
      <c r="F86" s="6" t="s">
        <v>11</v>
      </c>
      <c r="G86" s="4" t="str">
        <f>"Führungsfortbildung"</f>
        <v>Führungsfortbildung</v>
      </c>
      <c r="H86" s="4" t="s">
        <v>11</v>
      </c>
    </row>
    <row r="87" spans="1:8" x14ac:dyDescent="0.2">
      <c r="A87" s="4" t="str">
        <f>"01.114/018 b/2025"</f>
        <v>01.114/018 b/2025</v>
      </c>
      <c r="B87" s="4" t="str">
        <f t="shared" si="4"/>
        <v>Führung I - Kommunikation und Führung</v>
      </c>
      <c r="C87" s="5">
        <v>45936</v>
      </c>
      <c r="D87" s="5">
        <v>45938</v>
      </c>
      <c r="E87" s="4"/>
      <c r="F87" s="6" t="s">
        <v>11</v>
      </c>
      <c r="G87" s="4" t="str">
        <f>"Führungsfortbildung"</f>
        <v>Führungsfortbildung</v>
      </c>
      <c r="H87" s="4" t="s">
        <v>11</v>
      </c>
    </row>
    <row r="88" spans="1:8" x14ac:dyDescent="0.2">
      <c r="A88" s="4" t="str">
        <f>"01.114/018 c/2025"</f>
        <v>01.114/018 c/2025</v>
      </c>
      <c r="B88" s="4" t="str">
        <f t="shared" si="4"/>
        <v>Führung I - Kommunikation und Führung</v>
      </c>
      <c r="C88" s="5">
        <v>45992</v>
      </c>
      <c r="D88" s="5">
        <v>45994</v>
      </c>
      <c r="E88" s="4"/>
      <c r="F88" s="6" t="s">
        <v>11</v>
      </c>
      <c r="G88" s="4" t="str">
        <f>"Führungsfortbildung"</f>
        <v>Führungsfortbildung</v>
      </c>
      <c r="H88" s="4" t="s">
        <v>11</v>
      </c>
    </row>
    <row r="89" spans="1:8" x14ac:dyDescent="0.2">
      <c r="A89" s="4" t="str">
        <f>"01.114/019/2025"</f>
        <v>01.114/019/2025</v>
      </c>
      <c r="B89" s="4" t="str">
        <f t="shared" si="4"/>
        <v>Führung I - Kommunikation und Führung</v>
      </c>
      <c r="C89" s="5">
        <v>45910</v>
      </c>
      <c r="D89" s="5">
        <v>45987</v>
      </c>
      <c r="E89" s="4" t="str">
        <f>"3x3 Tage"</f>
        <v>3x3 Tage</v>
      </c>
      <c r="F89" s="6">
        <v>2170</v>
      </c>
      <c r="G89" s="4"/>
      <c r="H89" s="4" t="s">
        <v>11</v>
      </c>
    </row>
    <row r="90" spans="1:8" x14ac:dyDescent="0.2">
      <c r="A90" s="4" t="str">
        <f>"01.114/019 a/2025"</f>
        <v>01.114/019 a/2025</v>
      </c>
      <c r="B90" s="4" t="str">
        <f t="shared" si="4"/>
        <v>Führung I - Kommunikation und Führung</v>
      </c>
      <c r="C90" s="5">
        <v>45910</v>
      </c>
      <c r="D90" s="5">
        <v>45912</v>
      </c>
      <c r="E90" s="4"/>
      <c r="F90" s="6" t="s">
        <v>11</v>
      </c>
      <c r="G90" s="4" t="str">
        <f>"Führungsfortbildung"</f>
        <v>Führungsfortbildung</v>
      </c>
      <c r="H90" s="4" t="s">
        <v>11</v>
      </c>
    </row>
    <row r="91" spans="1:8" x14ac:dyDescent="0.2">
      <c r="A91" s="4" t="str">
        <f>"01.114/019 b/2025"</f>
        <v>01.114/019 b/2025</v>
      </c>
      <c r="B91" s="4" t="str">
        <f t="shared" si="4"/>
        <v>Führung I - Kommunikation und Führung</v>
      </c>
      <c r="C91" s="5">
        <v>45943</v>
      </c>
      <c r="D91" s="5">
        <v>45945</v>
      </c>
      <c r="E91" s="4"/>
      <c r="F91" s="6" t="s">
        <v>11</v>
      </c>
      <c r="G91" s="4" t="str">
        <f>"Führungsfortbildung"</f>
        <v>Führungsfortbildung</v>
      </c>
      <c r="H91" s="4" t="s">
        <v>11</v>
      </c>
    </row>
    <row r="92" spans="1:8" x14ac:dyDescent="0.2">
      <c r="A92" s="4" t="str">
        <f>"01.114/019 c/2025"</f>
        <v>01.114/019 c/2025</v>
      </c>
      <c r="B92" s="4" t="str">
        <f t="shared" si="4"/>
        <v>Führung I - Kommunikation und Führung</v>
      </c>
      <c r="C92" s="5">
        <v>45985</v>
      </c>
      <c r="D92" s="5">
        <v>45987</v>
      </c>
      <c r="E92" s="4"/>
      <c r="F92" s="6" t="s">
        <v>11</v>
      </c>
      <c r="G92" s="4" t="str">
        <f>"Führungsfortbildung"</f>
        <v>Führungsfortbildung</v>
      </c>
      <c r="H92" s="4" t="s">
        <v>11</v>
      </c>
    </row>
    <row r="93" spans="1:8" x14ac:dyDescent="0.2">
      <c r="A93" s="4" t="str">
        <f>"01.114/020/2025"</f>
        <v>01.114/020/2025</v>
      </c>
      <c r="B93" s="4" t="str">
        <f t="shared" si="4"/>
        <v>Führung I - Kommunikation und Führung</v>
      </c>
      <c r="C93" s="5">
        <v>45917</v>
      </c>
      <c r="D93" s="5">
        <v>45996</v>
      </c>
      <c r="E93" s="4" t="str">
        <f>"3x3 Tage"</f>
        <v>3x3 Tage</v>
      </c>
      <c r="F93" s="6">
        <v>2170</v>
      </c>
      <c r="G93" s="4"/>
      <c r="H93" s="4" t="s">
        <v>11</v>
      </c>
    </row>
    <row r="94" spans="1:8" x14ac:dyDescent="0.2">
      <c r="A94" s="4" t="str">
        <f>"01.114/020 a/2025"</f>
        <v>01.114/020 a/2025</v>
      </c>
      <c r="B94" s="4" t="str">
        <f t="shared" si="4"/>
        <v>Führung I - Kommunikation und Führung</v>
      </c>
      <c r="C94" s="5">
        <v>45917</v>
      </c>
      <c r="D94" s="5">
        <v>45919</v>
      </c>
      <c r="E94" s="4"/>
      <c r="F94" s="6" t="s">
        <v>11</v>
      </c>
      <c r="G94" s="4" t="str">
        <f>"Führungsfortbildung"</f>
        <v>Führungsfortbildung</v>
      </c>
      <c r="H94" s="4" t="s">
        <v>11</v>
      </c>
    </row>
    <row r="95" spans="1:8" x14ac:dyDescent="0.2">
      <c r="A95" s="4" t="str">
        <f>"01.114/020 b/2025"</f>
        <v>01.114/020 b/2025</v>
      </c>
      <c r="B95" s="4" t="str">
        <f t="shared" si="4"/>
        <v>Führung I - Kommunikation und Führung</v>
      </c>
      <c r="C95" s="5">
        <v>45945</v>
      </c>
      <c r="D95" s="5">
        <v>45947</v>
      </c>
      <c r="E95" s="4"/>
      <c r="F95" s="6" t="s">
        <v>11</v>
      </c>
      <c r="G95" s="4" t="str">
        <f>"Führungsfortbildung"</f>
        <v>Führungsfortbildung</v>
      </c>
      <c r="H95" s="4" t="s">
        <v>11</v>
      </c>
    </row>
    <row r="96" spans="1:8" x14ac:dyDescent="0.2">
      <c r="A96" s="4" t="str">
        <f>"01.114/020 c/2025"</f>
        <v>01.114/020 c/2025</v>
      </c>
      <c r="B96" s="4" t="str">
        <f t="shared" si="4"/>
        <v>Führung I - Kommunikation und Führung</v>
      </c>
      <c r="C96" s="5">
        <v>45994</v>
      </c>
      <c r="D96" s="5">
        <v>45996</v>
      </c>
      <c r="E96" s="4"/>
      <c r="F96" s="6" t="s">
        <v>11</v>
      </c>
      <c r="G96" s="4" t="str">
        <f>"Führungsfortbildung"</f>
        <v>Führungsfortbildung</v>
      </c>
      <c r="H96" s="4" t="s">
        <v>11</v>
      </c>
    </row>
    <row r="97" spans="1:8" x14ac:dyDescent="0.2">
      <c r="A97" s="4" t="str">
        <f>"01.114/021/2025"</f>
        <v>01.114/021/2025</v>
      </c>
      <c r="B97" s="4" t="str">
        <f t="shared" si="4"/>
        <v>Führung I - Kommunikation und Führung</v>
      </c>
      <c r="C97" s="5">
        <v>45943</v>
      </c>
      <c r="D97" s="5">
        <v>46003</v>
      </c>
      <c r="E97" s="4" t="str">
        <f>"3x3 Tage"</f>
        <v>3x3 Tage</v>
      </c>
      <c r="F97" s="6">
        <v>2170</v>
      </c>
      <c r="G97" s="4"/>
      <c r="H97" s="4" t="s">
        <v>11</v>
      </c>
    </row>
    <row r="98" spans="1:8" x14ac:dyDescent="0.2">
      <c r="A98" s="4" t="str">
        <f>"01.114/021 a/2025"</f>
        <v>01.114/021 a/2025</v>
      </c>
      <c r="B98" s="4" t="str">
        <f t="shared" si="4"/>
        <v>Führung I - Kommunikation und Führung</v>
      </c>
      <c r="C98" s="5">
        <v>45943</v>
      </c>
      <c r="D98" s="5">
        <v>45945</v>
      </c>
      <c r="E98" s="4"/>
      <c r="F98" s="6" t="s">
        <v>11</v>
      </c>
      <c r="G98" s="4" t="str">
        <f>"Führungsfortbildung"</f>
        <v>Führungsfortbildung</v>
      </c>
      <c r="H98" s="4" t="s">
        <v>11</v>
      </c>
    </row>
    <row r="99" spans="1:8" x14ac:dyDescent="0.2">
      <c r="A99" s="4" t="str">
        <f>"01.114/021 b/2025"</f>
        <v>01.114/021 b/2025</v>
      </c>
      <c r="B99" s="4" t="str">
        <f t="shared" si="4"/>
        <v>Führung I - Kommunikation und Führung</v>
      </c>
      <c r="C99" s="5">
        <v>45957</v>
      </c>
      <c r="D99" s="5">
        <v>45959</v>
      </c>
      <c r="E99" s="4"/>
      <c r="F99" s="6" t="s">
        <v>11</v>
      </c>
      <c r="G99" s="4" t="str">
        <f>"Führungsfortbildung"</f>
        <v>Führungsfortbildung</v>
      </c>
      <c r="H99" s="4" t="s">
        <v>11</v>
      </c>
    </row>
    <row r="100" spans="1:8" x14ac:dyDescent="0.2">
      <c r="A100" s="4" t="str">
        <f>"01.114/021 c/2025"</f>
        <v>01.114/021 c/2025</v>
      </c>
      <c r="B100" s="4" t="str">
        <f t="shared" si="4"/>
        <v>Führung I - Kommunikation und Führung</v>
      </c>
      <c r="C100" s="5">
        <v>46001</v>
      </c>
      <c r="D100" s="5">
        <v>46003</v>
      </c>
      <c r="E100" s="4"/>
      <c r="F100" s="6" t="s">
        <v>11</v>
      </c>
      <c r="G100" s="4" t="str">
        <f>"Führungsfortbildung"</f>
        <v>Führungsfortbildung</v>
      </c>
      <c r="H100" s="4" t="s">
        <v>11</v>
      </c>
    </row>
    <row r="101" spans="1:8" x14ac:dyDescent="0.2">
      <c r="A101" s="4" t="str">
        <f>"01.114/022/2025"</f>
        <v>01.114/022/2025</v>
      </c>
      <c r="B101" s="4" t="str">
        <f t="shared" si="4"/>
        <v>Führung I - Kommunikation und Führung</v>
      </c>
      <c r="C101" s="5">
        <v>45950</v>
      </c>
      <c r="D101" s="5">
        <v>46008</v>
      </c>
      <c r="E101" s="4" t="str">
        <f>"3x3 Tage"</f>
        <v>3x3 Tage</v>
      </c>
      <c r="F101" s="6">
        <v>2170</v>
      </c>
      <c r="G101" s="4"/>
      <c r="H101" s="4" t="s">
        <v>11</v>
      </c>
    </row>
    <row r="102" spans="1:8" x14ac:dyDescent="0.2">
      <c r="A102" s="4" t="str">
        <f>"01.114/022 a/2025"</f>
        <v>01.114/022 a/2025</v>
      </c>
      <c r="B102" s="4" t="str">
        <f t="shared" si="4"/>
        <v>Führung I - Kommunikation und Führung</v>
      </c>
      <c r="C102" s="5">
        <v>45950</v>
      </c>
      <c r="D102" s="5">
        <v>45952</v>
      </c>
      <c r="E102" s="4"/>
      <c r="F102" s="6" t="s">
        <v>11</v>
      </c>
      <c r="G102" s="4" t="str">
        <f>"Führungsfortbildung"</f>
        <v>Führungsfortbildung</v>
      </c>
      <c r="H102" s="4" t="s">
        <v>11</v>
      </c>
    </row>
    <row r="103" spans="1:8" x14ac:dyDescent="0.2">
      <c r="A103" s="4" t="str">
        <f>"01.114/022 b/2025"</f>
        <v>01.114/022 b/2025</v>
      </c>
      <c r="B103" s="4" t="str">
        <f t="shared" si="4"/>
        <v>Führung I - Kommunikation und Führung</v>
      </c>
      <c r="C103" s="5">
        <v>45971</v>
      </c>
      <c r="D103" s="5">
        <v>45973</v>
      </c>
      <c r="E103" s="4"/>
      <c r="F103" s="6" t="s">
        <v>11</v>
      </c>
      <c r="G103" s="4" t="str">
        <f>"Führungsfortbildung"</f>
        <v>Führungsfortbildung</v>
      </c>
      <c r="H103" s="4" t="s">
        <v>11</v>
      </c>
    </row>
    <row r="104" spans="1:8" x14ac:dyDescent="0.2">
      <c r="A104" s="4" t="str">
        <f>"01.114/022 c/2025"</f>
        <v>01.114/022 c/2025</v>
      </c>
      <c r="B104" s="4" t="str">
        <f t="shared" si="4"/>
        <v>Führung I - Kommunikation und Führung</v>
      </c>
      <c r="C104" s="5">
        <v>46006</v>
      </c>
      <c r="D104" s="5">
        <v>46008</v>
      </c>
      <c r="E104" s="4"/>
      <c r="F104" s="6" t="s">
        <v>11</v>
      </c>
      <c r="G104" s="4" t="str">
        <f>"Führungsfortbildung"</f>
        <v>Führungsfortbildung</v>
      </c>
      <c r="H104" s="4" t="s">
        <v>11</v>
      </c>
    </row>
    <row r="105" spans="1:8" x14ac:dyDescent="0.2">
      <c r="A105" s="4" t="str">
        <f>"01.114/023/2025"</f>
        <v>01.114/023/2025</v>
      </c>
      <c r="B105" s="4" t="str">
        <f t="shared" si="4"/>
        <v>Führung I - Kommunikation und Führung</v>
      </c>
      <c r="C105" s="5">
        <v>46006</v>
      </c>
      <c r="D105" s="5">
        <v>46092</v>
      </c>
      <c r="E105" s="4" t="str">
        <f>"3x3 Tage"</f>
        <v>3x3 Tage</v>
      </c>
      <c r="F105" s="6">
        <v>2170</v>
      </c>
      <c r="G105" s="4"/>
      <c r="H105" s="4" t="s">
        <v>11</v>
      </c>
    </row>
    <row r="106" spans="1:8" x14ac:dyDescent="0.2">
      <c r="A106" s="4" t="str">
        <f>"01.114/023 a/2025"</f>
        <v>01.114/023 a/2025</v>
      </c>
      <c r="B106" s="4" t="str">
        <f t="shared" si="4"/>
        <v>Führung I - Kommunikation und Führung</v>
      </c>
      <c r="C106" s="5">
        <v>46006</v>
      </c>
      <c r="D106" s="5">
        <v>46008</v>
      </c>
      <c r="E106" s="4"/>
      <c r="F106" s="6" t="s">
        <v>11</v>
      </c>
      <c r="G106" s="4" t="str">
        <f>"Führungsfortbildung"</f>
        <v>Führungsfortbildung</v>
      </c>
      <c r="H106" s="4" t="s">
        <v>11</v>
      </c>
    </row>
    <row r="107" spans="1:8" x14ac:dyDescent="0.2">
      <c r="A107" s="4" t="str">
        <f>"01.114/023 b/2025"</f>
        <v>01.114/023 b/2025</v>
      </c>
      <c r="B107" s="4" t="str">
        <f t="shared" si="4"/>
        <v>Führung I - Kommunikation und Führung</v>
      </c>
      <c r="C107" s="5">
        <v>46041</v>
      </c>
      <c r="D107" s="5">
        <v>46043</v>
      </c>
      <c r="E107" s="4"/>
      <c r="F107" s="6" t="s">
        <v>11</v>
      </c>
      <c r="G107" s="4" t="str">
        <f>"Führungsfortbildung"</f>
        <v>Führungsfortbildung</v>
      </c>
      <c r="H107" s="4" t="s">
        <v>11</v>
      </c>
    </row>
    <row r="108" spans="1:8" x14ac:dyDescent="0.2">
      <c r="A108" s="4" t="str">
        <f>"01.114/023 c/2025"</f>
        <v>01.114/023 c/2025</v>
      </c>
      <c r="B108" s="4" t="str">
        <f t="shared" si="4"/>
        <v>Führung I - Kommunikation und Führung</v>
      </c>
      <c r="C108" s="5">
        <v>46090</v>
      </c>
      <c r="D108" s="5">
        <v>46092</v>
      </c>
      <c r="E108" s="4"/>
      <c r="F108" s="6" t="s">
        <v>11</v>
      </c>
      <c r="G108" s="4" t="str">
        <f>"Führungsfortbildung"</f>
        <v>Führungsfortbildung</v>
      </c>
      <c r="H108" s="4" t="s">
        <v>11</v>
      </c>
    </row>
    <row r="109" spans="1:8" x14ac:dyDescent="0.2">
      <c r="A109" s="4" t="str">
        <f>"01.120/001/2025"</f>
        <v>01.120/001/2025</v>
      </c>
      <c r="B109" s="4" t="str">
        <f t="shared" ref="B109:B141" si="5">"Führung II - Führung in der Hierarchie"</f>
        <v>Führung II - Führung in der Hierarchie</v>
      </c>
      <c r="C109" s="5">
        <v>45663</v>
      </c>
      <c r="D109" s="5">
        <v>45722</v>
      </c>
      <c r="E109" s="4" t="str">
        <f>"2x3 Tage"</f>
        <v>2x3 Tage</v>
      </c>
      <c r="F109" s="6">
        <v>1510</v>
      </c>
      <c r="G109" s="4"/>
      <c r="H109" s="4" t="s">
        <v>11</v>
      </c>
    </row>
    <row r="110" spans="1:8" x14ac:dyDescent="0.2">
      <c r="A110" s="4" t="str">
        <f>"01.120/001 a/2025"</f>
        <v>01.120/001 a/2025</v>
      </c>
      <c r="B110" s="4" t="str">
        <f t="shared" si="5"/>
        <v>Führung II - Führung in der Hierarchie</v>
      </c>
      <c r="C110" s="5">
        <v>45663</v>
      </c>
      <c r="D110" s="5">
        <v>45665</v>
      </c>
      <c r="E110" s="4"/>
      <c r="F110" s="6" t="s">
        <v>11</v>
      </c>
      <c r="G110" s="4" t="str">
        <f>"Führungsfortbildung"</f>
        <v>Führungsfortbildung</v>
      </c>
      <c r="H110" s="4" t="s">
        <v>11</v>
      </c>
    </row>
    <row r="111" spans="1:8" x14ac:dyDescent="0.2">
      <c r="A111" s="4" t="str">
        <f>"01.120/001 b/2025"</f>
        <v>01.120/001 b/2025</v>
      </c>
      <c r="B111" s="4" t="str">
        <f t="shared" si="5"/>
        <v>Führung II - Führung in der Hierarchie</v>
      </c>
      <c r="C111" s="5">
        <v>45720</v>
      </c>
      <c r="D111" s="5">
        <v>45722</v>
      </c>
      <c r="E111" s="4"/>
      <c r="F111" s="6" t="s">
        <v>11</v>
      </c>
      <c r="G111" s="4" t="str">
        <f>"Führungsfortbildung"</f>
        <v>Führungsfortbildung</v>
      </c>
      <c r="H111" s="4" t="s">
        <v>11</v>
      </c>
    </row>
    <row r="112" spans="1:8" x14ac:dyDescent="0.2">
      <c r="A112" s="4" t="str">
        <f>"01.120/002/2025"</f>
        <v>01.120/002/2025</v>
      </c>
      <c r="B112" s="4" t="str">
        <f t="shared" si="5"/>
        <v>Führung II - Führung in der Hierarchie</v>
      </c>
      <c r="C112" s="5">
        <v>45728</v>
      </c>
      <c r="D112" s="5">
        <v>45791</v>
      </c>
      <c r="E112" s="4" t="str">
        <f>"2x3 Tage"</f>
        <v>2x3 Tage</v>
      </c>
      <c r="F112" s="6">
        <v>1510</v>
      </c>
      <c r="G112" s="4"/>
      <c r="H112" s="4" t="s">
        <v>11</v>
      </c>
    </row>
    <row r="113" spans="1:8" x14ac:dyDescent="0.2">
      <c r="A113" s="4" t="str">
        <f>"01.120/002 a/2025"</f>
        <v>01.120/002 a/2025</v>
      </c>
      <c r="B113" s="4" t="str">
        <f t="shared" si="5"/>
        <v>Führung II - Führung in der Hierarchie</v>
      </c>
      <c r="C113" s="5">
        <v>45728</v>
      </c>
      <c r="D113" s="5">
        <v>45730</v>
      </c>
      <c r="E113" s="4"/>
      <c r="F113" s="6" t="s">
        <v>11</v>
      </c>
      <c r="G113" s="4" t="str">
        <f>"Führungsfortbildung"</f>
        <v>Führungsfortbildung</v>
      </c>
      <c r="H113" s="4" t="s">
        <v>11</v>
      </c>
    </row>
    <row r="114" spans="1:8" x14ac:dyDescent="0.2">
      <c r="A114" s="4" t="str">
        <f>"01.120/002 b/2025"</f>
        <v>01.120/002 b/2025</v>
      </c>
      <c r="B114" s="4" t="str">
        <f t="shared" si="5"/>
        <v>Führung II - Führung in der Hierarchie</v>
      </c>
      <c r="C114" s="5">
        <v>45789</v>
      </c>
      <c r="D114" s="5">
        <v>45791</v>
      </c>
      <c r="E114" s="4"/>
      <c r="F114" s="6" t="s">
        <v>11</v>
      </c>
      <c r="G114" s="4" t="str">
        <f>"Führungsfortbildung"</f>
        <v>Führungsfortbildung</v>
      </c>
      <c r="H114" s="4" t="s">
        <v>11</v>
      </c>
    </row>
    <row r="115" spans="1:8" x14ac:dyDescent="0.2">
      <c r="A115" s="4" t="str">
        <f>"01.120/003/2025"</f>
        <v>01.120/003/2025</v>
      </c>
      <c r="B115" s="4" t="str">
        <f t="shared" si="5"/>
        <v>Führung II - Führung in der Hierarchie</v>
      </c>
      <c r="C115" s="5">
        <v>45756</v>
      </c>
      <c r="D115" s="5">
        <v>45800</v>
      </c>
      <c r="E115" s="4" t="str">
        <f>"2x3 Tage"</f>
        <v>2x3 Tage</v>
      </c>
      <c r="F115" s="6">
        <v>1510</v>
      </c>
      <c r="G115" s="4"/>
      <c r="H115" s="4" t="s">
        <v>11</v>
      </c>
    </row>
    <row r="116" spans="1:8" x14ac:dyDescent="0.2">
      <c r="A116" s="4" t="str">
        <f>"01.120/003 a/2025"</f>
        <v>01.120/003 a/2025</v>
      </c>
      <c r="B116" s="4" t="str">
        <f t="shared" si="5"/>
        <v>Führung II - Führung in der Hierarchie</v>
      </c>
      <c r="C116" s="5">
        <v>45756</v>
      </c>
      <c r="D116" s="5">
        <v>45758</v>
      </c>
      <c r="E116" s="4"/>
      <c r="F116" s="6" t="s">
        <v>11</v>
      </c>
      <c r="G116" s="4" t="str">
        <f>"Führungsfortbildung"</f>
        <v>Führungsfortbildung</v>
      </c>
      <c r="H116" s="4" t="s">
        <v>11</v>
      </c>
    </row>
    <row r="117" spans="1:8" x14ac:dyDescent="0.2">
      <c r="A117" s="4" t="str">
        <f>"01.120/003 b/2025"</f>
        <v>01.120/003 b/2025</v>
      </c>
      <c r="B117" s="4" t="str">
        <f t="shared" si="5"/>
        <v>Führung II - Führung in der Hierarchie</v>
      </c>
      <c r="C117" s="5">
        <v>45798</v>
      </c>
      <c r="D117" s="5">
        <v>45800</v>
      </c>
      <c r="E117" s="4"/>
      <c r="F117" s="6" t="s">
        <v>11</v>
      </c>
      <c r="G117" s="4" t="str">
        <f>"Führungsfortbildung"</f>
        <v>Führungsfortbildung</v>
      </c>
      <c r="H117" s="4" t="s">
        <v>11</v>
      </c>
    </row>
    <row r="118" spans="1:8" x14ac:dyDescent="0.2">
      <c r="A118" s="4" t="str">
        <f>"01.120/004/2025"</f>
        <v>01.120/004/2025</v>
      </c>
      <c r="B118" s="4" t="str">
        <f t="shared" si="5"/>
        <v>Führung II - Führung in der Hierarchie</v>
      </c>
      <c r="C118" s="5">
        <v>45761</v>
      </c>
      <c r="D118" s="5">
        <v>45805</v>
      </c>
      <c r="E118" s="4" t="str">
        <f>"2x3 Tage"</f>
        <v>2x3 Tage</v>
      </c>
      <c r="F118" s="6">
        <v>1510</v>
      </c>
      <c r="G118" s="4"/>
      <c r="H118" s="4" t="s">
        <v>11</v>
      </c>
    </row>
    <row r="119" spans="1:8" x14ac:dyDescent="0.2">
      <c r="A119" s="4" t="str">
        <f>"01.120/004 a/2025"</f>
        <v>01.120/004 a/2025</v>
      </c>
      <c r="B119" s="4" t="str">
        <f t="shared" si="5"/>
        <v>Führung II - Führung in der Hierarchie</v>
      </c>
      <c r="C119" s="5">
        <v>45761</v>
      </c>
      <c r="D119" s="5">
        <v>45763</v>
      </c>
      <c r="E119" s="4"/>
      <c r="F119" s="6" t="s">
        <v>11</v>
      </c>
      <c r="G119" s="4" t="str">
        <f>"Führungsfortbildung"</f>
        <v>Führungsfortbildung</v>
      </c>
      <c r="H119" s="4" t="s">
        <v>11</v>
      </c>
    </row>
    <row r="120" spans="1:8" x14ac:dyDescent="0.2">
      <c r="A120" s="4" t="str">
        <f>"01.120/004 b/2025"</f>
        <v>01.120/004 b/2025</v>
      </c>
      <c r="B120" s="4" t="str">
        <f t="shared" si="5"/>
        <v>Führung II - Führung in der Hierarchie</v>
      </c>
      <c r="C120" s="5">
        <v>45803</v>
      </c>
      <c r="D120" s="5">
        <v>45805</v>
      </c>
      <c r="E120" s="4"/>
      <c r="F120" s="6" t="s">
        <v>11</v>
      </c>
      <c r="G120" s="4" t="str">
        <f>"Führungsfortbildung"</f>
        <v>Führungsfortbildung</v>
      </c>
      <c r="H120" s="4" t="s">
        <v>11</v>
      </c>
    </row>
    <row r="121" spans="1:8" x14ac:dyDescent="0.2">
      <c r="A121" s="4" t="str">
        <f>"01.120/005/2025"</f>
        <v>01.120/005/2025</v>
      </c>
      <c r="B121" s="4" t="str">
        <f t="shared" si="5"/>
        <v>Führung II - Führung in der Hierarchie</v>
      </c>
      <c r="C121" s="5">
        <v>45782</v>
      </c>
      <c r="D121" s="5">
        <v>45812</v>
      </c>
      <c r="E121" s="4" t="str">
        <f>"2x3 Tage"</f>
        <v>2x3 Tage</v>
      </c>
      <c r="F121" s="6">
        <v>1510</v>
      </c>
      <c r="G121" s="4"/>
      <c r="H121" s="4" t="s">
        <v>11</v>
      </c>
    </row>
    <row r="122" spans="1:8" x14ac:dyDescent="0.2">
      <c r="A122" s="4" t="str">
        <f>"01.120/005 a/2025"</f>
        <v>01.120/005 a/2025</v>
      </c>
      <c r="B122" s="4" t="str">
        <f t="shared" si="5"/>
        <v>Führung II - Führung in der Hierarchie</v>
      </c>
      <c r="C122" s="5">
        <v>45782</v>
      </c>
      <c r="D122" s="5">
        <v>45784</v>
      </c>
      <c r="E122" s="4"/>
      <c r="F122" s="6" t="s">
        <v>11</v>
      </c>
      <c r="G122" s="4" t="str">
        <f>"Führungsfortbildung"</f>
        <v>Führungsfortbildung</v>
      </c>
      <c r="H122" s="4" t="s">
        <v>11</v>
      </c>
    </row>
    <row r="123" spans="1:8" x14ac:dyDescent="0.2">
      <c r="A123" s="4" t="str">
        <f>"01.120/005 b/2025"</f>
        <v>01.120/005 b/2025</v>
      </c>
      <c r="B123" s="4" t="str">
        <f t="shared" si="5"/>
        <v>Führung II - Führung in der Hierarchie</v>
      </c>
      <c r="C123" s="5">
        <v>45810</v>
      </c>
      <c r="D123" s="5">
        <v>45812</v>
      </c>
      <c r="E123" s="4"/>
      <c r="F123" s="6" t="s">
        <v>11</v>
      </c>
      <c r="G123" s="4" t="str">
        <f>"Führungsfortbildung"</f>
        <v>Führungsfortbildung</v>
      </c>
      <c r="H123" s="4" t="s">
        <v>11</v>
      </c>
    </row>
    <row r="124" spans="1:8" x14ac:dyDescent="0.2">
      <c r="A124" s="4" t="str">
        <f>"01.120/006/2025"</f>
        <v>01.120/006/2025</v>
      </c>
      <c r="B124" s="4" t="str">
        <f t="shared" si="5"/>
        <v>Führung II - Führung in der Hierarchie</v>
      </c>
      <c r="C124" s="5">
        <v>45831</v>
      </c>
      <c r="D124" s="5">
        <v>45861</v>
      </c>
      <c r="E124" s="4" t="str">
        <f>"2x3 Tage"</f>
        <v>2x3 Tage</v>
      </c>
      <c r="F124" s="6">
        <v>1510</v>
      </c>
      <c r="G124" s="4"/>
      <c r="H124" s="4" t="s">
        <v>11</v>
      </c>
    </row>
    <row r="125" spans="1:8" x14ac:dyDescent="0.2">
      <c r="A125" s="4" t="str">
        <f>"01.120/006 a/2025"</f>
        <v>01.120/006 a/2025</v>
      </c>
      <c r="B125" s="4" t="str">
        <f t="shared" si="5"/>
        <v>Führung II - Führung in der Hierarchie</v>
      </c>
      <c r="C125" s="5">
        <v>45831</v>
      </c>
      <c r="D125" s="5">
        <v>45833</v>
      </c>
      <c r="E125" s="4"/>
      <c r="F125" s="6" t="s">
        <v>11</v>
      </c>
      <c r="G125" s="4" t="str">
        <f>"Führungsfortbildung"</f>
        <v>Führungsfortbildung</v>
      </c>
      <c r="H125" s="4" t="s">
        <v>11</v>
      </c>
    </row>
    <row r="126" spans="1:8" x14ac:dyDescent="0.2">
      <c r="A126" s="4" t="str">
        <f>"01.120/006 b/2025"</f>
        <v>01.120/006 b/2025</v>
      </c>
      <c r="B126" s="4" t="str">
        <f t="shared" si="5"/>
        <v>Führung II - Führung in der Hierarchie</v>
      </c>
      <c r="C126" s="5">
        <v>45859</v>
      </c>
      <c r="D126" s="5">
        <v>45861</v>
      </c>
      <c r="E126" s="4"/>
      <c r="F126" s="6" t="s">
        <v>11</v>
      </c>
      <c r="G126" s="4" t="str">
        <f>"Führungsfortbildung"</f>
        <v>Führungsfortbildung</v>
      </c>
      <c r="H126" s="4" t="s">
        <v>11</v>
      </c>
    </row>
    <row r="127" spans="1:8" x14ac:dyDescent="0.2">
      <c r="A127" s="4" t="str">
        <f>"01.120/007/2025"</f>
        <v>01.120/007/2025</v>
      </c>
      <c r="B127" s="4" t="str">
        <f t="shared" si="5"/>
        <v>Führung II - Führung in der Hierarchie</v>
      </c>
      <c r="C127" s="5">
        <v>45818</v>
      </c>
      <c r="D127" s="5">
        <v>45903</v>
      </c>
      <c r="E127" s="4" t="str">
        <f>"2x3 Tage"</f>
        <v>2x3 Tage</v>
      </c>
      <c r="F127" s="6">
        <v>1510</v>
      </c>
      <c r="G127" s="4"/>
      <c r="H127" s="4" t="s">
        <v>11</v>
      </c>
    </row>
    <row r="128" spans="1:8" x14ac:dyDescent="0.2">
      <c r="A128" s="4" t="str">
        <f>"01.120/007 a/2025"</f>
        <v>01.120/007 a/2025</v>
      </c>
      <c r="B128" s="4" t="str">
        <f t="shared" si="5"/>
        <v>Führung II - Führung in der Hierarchie</v>
      </c>
      <c r="C128" s="5">
        <v>45818</v>
      </c>
      <c r="D128" s="5">
        <v>45820</v>
      </c>
      <c r="E128" s="4"/>
      <c r="F128" s="6" t="s">
        <v>11</v>
      </c>
      <c r="G128" s="4" t="str">
        <f>"Führungsfortbildung"</f>
        <v>Führungsfortbildung</v>
      </c>
      <c r="H128" s="4" t="s">
        <v>11</v>
      </c>
    </row>
    <row r="129" spans="1:8" x14ac:dyDescent="0.2">
      <c r="A129" s="4" t="str">
        <f>"01.120/007 b/2025"</f>
        <v>01.120/007 b/2025</v>
      </c>
      <c r="B129" s="4" t="str">
        <f t="shared" si="5"/>
        <v>Führung II - Führung in der Hierarchie</v>
      </c>
      <c r="C129" s="5">
        <v>45901</v>
      </c>
      <c r="D129" s="5">
        <v>45903</v>
      </c>
      <c r="E129" s="4"/>
      <c r="F129" s="6" t="s">
        <v>11</v>
      </c>
      <c r="G129" s="4" t="str">
        <f>"Führungsfortbildung"</f>
        <v>Führungsfortbildung</v>
      </c>
      <c r="H129" s="4" t="s">
        <v>11</v>
      </c>
    </row>
    <row r="130" spans="1:8" x14ac:dyDescent="0.2">
      <c r="A130" s="4" t="str">
        <f>"01.120/008/2025"</f>
        <v>01.120/008/2025</v>
      </c>
      <c r="B130" s="4" t="str">
        <f t="shared" si="5"/>
        <v>Führung II - Führung in der Hierarchie</v>
      </c>
      <c r="C130" s="5">
        <v>45833</v>
      </c>
      <c r="D130" s="5">
        <v>45896</v>
      </c>
      <c r="E130" s="4" t="str">
        <f>"2x3 Tage"</f>
        <v>2x3 Tage</v>
      </c>
      <c r="F130" s="6">
        <v>1510</v>
      </c>
      <c r="G130" s="4"/>
      <c r="H130" s="4" t="s">
        <v>11</v>
      </c>
    </row>
    <row r="131" spans="1:8" x14ac:dyDescent="0.2">
      <c r="A131" s="4" t="str">
        <f>"01.120/008 a/2025"</f>
        <v>01.120/008 a/2025</v>
      </c>
      <c r="B131" s="4" t="str">
        <f t="shared" si="5"/>
        <v>Führung II - Führung in der Hierarchie</v>
      </c>
      <c r="C131" s="5">
        <v>45833</v>
      </c>
      <c r="D131" s="5">
        <v>45835</v>
      </c>
      <c r="E131" s="4"/>
      <c r="F131" s="6" t="s">
        <v>11</v>
      </c>
      <c r="G131" s="4" t="str">
        <f>"Führungsfortbildung"</f>
        <v>Führungsfortbildung</v>
      </c>
      <c r="H131" s="4" t="s">
        <v>11</v>
      </c>
    </row>
    <row r="132" spans="1:8" x14ac:dyDescent="0.2">
      <c r="A132" s="4" t="str">
        <f>"01.120/008 b/2025"</f>
        <v>01.120/008 b/2025</v>
      </c>
      <c r="B132" s="4" t="str">
        <f t="shared" si="5"/>
        <v>Führung II - Führung in der Hierarchie</v>
      </c>
      <c r="C132" s="5">
        <v>45894</v>
      </c>
      <c r="D132" s="5">
        <v>45896</v>
      </c>
      <c r="E132" s="4"/>
      <c r="F132" s="6" t="s">
        <v>11</v>
      </c>
      <c r="G132" s="4" t="str">
        <f>"Führungsfortbildung"</f>
        <v>Führungsfortbildung</v>
      </c>
      <c r="H132" s="4" t="s">
        <v>11</v>
      </c>
    </row>
    <row r="133" spans="1:8" x14ac:dyDescent="0.2">
      <c r="A133" s="4" t="str">
        <f>"01.120/009/2025"</f>
        <v>01.120/009/2025</v>
      </c>
      <c r="B133" s="4" t="str">
        <f t="shared" si="5"/>
        <v>Führung II - Führung in der Hierarchie</v>
      </c>
      <c r="C133" s="5">
        <v>45847</v>
      </c>
      <c r="D133" s="5">
        <v>45898</v>
      </c>
      <c r="E133" s="4" t="str">
        <f>"2x3 Tage"</f>
        <v>2x3 Tage</v>
      </c>
      <c r="F133" s="6">
        <v>1510</v>
      </c>
      <c r="G133" s="4"/>
      <c r="H133" s="4" t="s">
        <v>11</v>
      </c>
    </row>
    <row r="134" spans="1:8" x14ac:dyDescent="0.2">
      <c r="A134" s="4" t="str">
        <f>"01.120/009 a/2025"</f>
        <v>01.120/009 a/2025</v>
      </c>
      <c r="B134" s="4" t="str">
        <f t="shared" si="5"/>
        <v>Führung II - Führung in der Hierarchie</v>
      </c>
      <c r="C134" s="5">
        <v>45847</v>
      </c>
      <c r="D134" s="5">
        <v>45849</v>
      </c>
      <c r="E134" s="4"/>
      <c r="F134" s="6" t="s">
        <v>11</v>
      </c>
      <c r="G134" s="4" t="str">
        <f>"Führungsfortbildung"</f>
        <v>Führungsfortbildung</v>
      </c>
      <c r="H134" s="4" t="s">
        <v>11</v>
      </c>
    </row>
    <row r="135" spans="1:8" x14ac:dyDescent="0.2">
      <c r="A135" s="4" t="str">
        <f>"01.120/009 b/2025"</f>
        <v>01.120/009 b/2025</v>
      </c>
      <c r="B135" s="4" t="str">
        <f t="shared" si="5"/>
        <v>Führung II - Führung in der Hierarchie</v>
      </c>
      <c r="C135" s="5">
        <v>45896</v>
      </c>
      <c r="D135" s="5">
        <v>45898</v>
      </c>
      <c r="E135" s="4"/>
      <c r="F135" s="6" t="s">
        <v>11</v>
      </c>
      <c r="G135" s="4" t="str">
        <f>"Führungsfortbildung"</f>
        <v>Führungsfortbildung</v>
      </c>
      <c r="H135" s="4" t="s">
        <v>11</v>
      </c>
    </row>
    <row r="136" spans="1:8" x14ac:dyDescent="0.2">
      <c r="A136" s="4" t="str">
        <f>"01.120/010/2025"</f>
        <v>01.120/010/2025</v>
      </c>
      <c r="B136" s="4" t="str">
        <f t="shared" si="5"/>
        <v>Führung II - Führung in der Hierarchie</v>
      </c>
      <c r="C136" s="5">
        <v>45901</v>
      </c>
      <c r="D136" s="5">
        <v>45959</v>
      </c>
      <c r="E136" s="4" t="str">
        <f>"2x3 Tage"</f>
        <v>2x3 Tage</v>
      </c>
      <c r="F136" s="6">
        <v>1510</v>
      </c>
      <c r="G136" s="4"/>
      <c r="H136" s="4" t="s">
        <v>11</v>
      </c>
    </row>
    <row r="137" spans="1:8" x14ac:dyDescent="0.2">
      <c r="A137" s="4" t="str">
        <f>"01.120/010 a/2025"</f>
        <v>01.120/010 a/2025</v>
      </c>
      <c r="B137" s="4" t="str">
        <f t="shared" si="5"/>
        <v>Führung II - Führung in der Hierarchie</v>
      </c>
      <c r="C137" s="5">
        <v>45901</v>
      </c>
      <c r="D137" s="5">
        <v>45903</v>
      </c>
      <c r="E137" s="4"/>
      <c r="F137" s="6" t="s">
        <v>11</v>
      </c>
      <c r="G137" s="4" t="str">
        <f>"Führungsfortbildung"</f>
        <v>Führungsfortbildung</v>
      </c>
      <c r="H137" s="4" t="s">
        <v>11</v>
      </c>
    </row>
    <row r="138" spans="1:8" x14ac:dyDescent="0.2">
      <c r="A138" s="4" t="str">
        <f>"01.120/010 b/2025"</f>
        <v>01.120/010 b/2025</v>
      </c>
      <c r="B138" s="4" t="str">
        <f t="shared" si="5"/>
        <v>Führung II - Führung in der Hierarchie</v>
      </c>
      <c r="C138" s="5">
        <v>45957</v>
      </c>
      <c r="D138" s="5">
        <v>45959</v>
      </c>
      <c r="E138" s="4"/>
      <c r="F138" s="6" t="s">
        <v>11</v>
      </c>
      <c r="G138" s="4" t="str">
        <f>"Führungsfortbildung"</f>
        <v>Führungsfortbildung</v>
      </c>
      <c r="H138" s="4" t="s">
        <v>11</v>
      </c>
    </row>
    <row r="139" spans="1:8" x14ac:dyDescent="0.2">
      <c r="A139" s="4" t="str">
        <f>"01.120/011/2025"</f>
        <v>01.120/011/2025</v>
      </c>
      <c r="B139" s="4" t="str">
        <f t="shared" si="5"/>
        <v>Führung II - Führung in der Hierarchie</v>
      </c>
      <c r="C139" s="5">
        <v>45929</v>
      </c>
      <c r="D139" s="5">
        <v>45982</v>
      </c>
      <c r="E139" s="4" t="str">
        <f>"2x3 Tage"</f>
        <v>2x3 Tage</v>
      </c>
      <c r="F139" s="6">
        <v>1510</v>
      </c>
      <c r="G139" s="4"/>
      <c r="H139" s="4" t="s">
        <v>11</v>
      </c>
    </row>
    <row r="140" spans="1:8" x14ac:dyDescent="0.2">
      <c r="A140" s="4" t="str">
        <f>"01.120/011 a/2025"</f>
        <v>01.120/011 a/2025</v>
      </c>
      <c r="B140" s="4" t="str">
        <f t="shared" si="5"/>
        <v>Führung II - Führung in der Hierarchie</v>
      </c>
      <c r="C140" s="5">
        <v>45929</v>
      </c>
      <c r="D140" s="5">
        <v>45931</v>
      </c>
      <c r="E140" s="4"/>
      <c r="F140" s="6" t="s">
        <v>11</v>
      </c>
      <c r="G140" s="4" t="str">
        <f>"Führungsfortbildung"</f>
        <v>Führungsfortbildung</v>
      </c>
      <c r="H140" s="4" t="s">
        <v>11</v>
      </c>
    </row>
    <row r="141" spans="1:8" x14ac:dyDescent="0.2">
      <c r="A141" s="4" t="str">
        <f>"01.120/011 b/2025"</f>
        <v>01.120/011 b/2025</v>
      </c>
      <c r="B141" s="4" t="str">
        <f t="shared" si="5"/>
        <v>Führung II - Führung in der Hierarchie</v>
      </c>
      <c r="C141" s="5">
        <v>45980</v>
      </c>
      <c r="D141" s="5">
        <v>45982</v>
      </c>
      <c r="E141" s="4"/>
      <c r="F141" s="6" t="s">
        <v>11</v>
      </c>
      <c r="G141" s="4" t="str">
        <f>"Führungsfortbildung"</f>
        <v>Führungsfortbildung</v>
      </c>
      <c r="H141" s="4" t="s">
        <v>11</v>
      </c>
    </row>
    <row r="142" spans="1:8" x14ac:dyDescent="0.2">
      <c r="A142" s="4" t="str">
        <f>"01.121/001/2025"</f>
        <v>01.121/001/2025</v>
      </c>
      <c r="B142" s="4" t="str">
        <f t="shared" ref="B142:B162" si="6">"Führung II - Laterale Führung"</f>
        <v>Führung II - Laterale Führung</v>
      </c>
      <c r="C142" s="5">
        <v>45670</v>
      </c>
      <c r="D142" s="5">
        <v>45707</v>
      </c>
      <c r="E142" s="4" t="str">
        <f>"2x3 Tage"</f>
        <v>2x3 Tage</v>
      </c>
      <c r="F142" s="6">
        <v>1510</v>
      </c>
      <c r="G142" s="4"/>
      <c r="H142" s="4" t="s">
        <v>11</v>
      </c>
    </row>
    <row r="143" spans="1:8" x14ac:dyDescent="0.2">
      <c r="A143" s="4" t="str">
        <f>"01.121/001 a/2025"</f>
        <v>01.121/001 a/2025</v>
      </c>
      <c r="B143" s="4" t="str">
        <f t="shared" si="6"/>
        <v>Führung II - Laterale Führung</v>
      </c>
      <c r="C143" s="5">
        <v>45670</v>
      </c>
      <c r="D143" s="5">
        <v>45672</v>
      </c>
      <c r="E143" s="4"/>
      <c r="F143" s="6" t="s">
        <v>11</v>
      </c>
      <c r="G143" s="4" t="str">
        <f>"Führungsfortbildung"</f>
        <v>Führungsfortbildung</v>
      </c>
      <c r="H143" s="4" t="s">
        <v>11</v>
      </c>
    </row>
    <row r="144" spans="1:8" x14ac:dyDescent="0.2">
      <c r="A144" s="4" t="str">
        <f>"01.121/001 b/2025"</f>
        <v>01.121/001 b/2025</v>
      </c>
      <c r="B144" s="4" t="str">
        <f t="shared" si="6"/>
        <v>Führung II - Laterale Führung</v>
      </c>
      <c r="C144" s="5">
        <v>45705</v>
      </c>
      <c r="D144" s="5">
        <v>45707</v>
      </c>
      <c r="E144" s="4"/>
      <c r="F144" s="6" t="s">
        <v>11</v>
      </c>
      <c r="G144" s="4" t="str">
        <f>"Führungsfortbildung"</f>
        <v>Führungsfortbildung</v>
      </c>
      <c r="H144" s="4" t="s">
        <v>11</v>
      </c>
    </row>
    <row r="145" spans="1:8" x14ac:dyDescent="0.2">
      <c r="A145" s="4" t="str">
        <f>"01.121/002/2025"</f>
        <v>01.121/002/2025</v>
      </c>
      <c r="B145" s="4" t="str">
        <f t="shared" si="6"/>
        <v>Führung II - Laterale Führung</v>
      </c>
      <c r="C145" s="5">
        <v>45684</v>
      </c>
      <c r="D145" s="5">
        <v>45749</v>
      </c>
      <c r="E145" s="4" t="str">
        <f>"2x3 Tage"</f>
        <v>2x3 Tage</v>
      </c>
      <c r="F145" s="6">
        <v>1510</v>
      </c>
      <c r="G145" s="4"/>
      <c r="H145" s="4" t="s">
        <v>11</v>
      </c>
    </row>
    <row r="146" spans="1:8" x14ac:dyDescent="0.2">
      <c r="A146" s="4" t="str">
        <f>"01.121/002 a/2025"</f>
        <v>01.121/002 a/2025</v>
      </c>
      <c r="B146" s="4" t="str">
        <f t="shared" si="6"/>
        <v>Führung II - Laterale Führung</v>
      </c>
      <c r="C146" s="5">
        <v>45684</v>
      </c>
      <c r="D146" s="5">
        <v>45686</v>
      </c>
      <c r="E146" s="4"/>
      <c r="F146" s="6" t="s">
        <v>11</v>
      </c>
      <c r="G146" s="4" t="str">
        <f>"Führungsfortbildung"</f>
        <v>Führungsfortbildung</v>
      </c>
      <c r="H146" s="4" t="s">
        <v>11</v>
      </c>
    </row>
    <row r="147" spans="1:8" x14ac:dyDescent="0.2">
      <c r="A147" s="4" t="str">
        <f>"01.121/002 b/2025"</f>
        <v>01.121/002 b/2025</v>
      </c>
      <c r="B147" s="4" t="str">
        <f t="shared" si="6"/>
        <v>Führung II - Laterale Führung</v>
      </c>
      <c r="C147" s="5">
        <v>45747</v>
      </c>
      <c r="D147" s="5">
        <v>45749</v>
      </c>
      <c r="E147" s="4"/>
      <c r="F147" s="6" t="s">
        <v>11</v>
      </c>
      <c r="G147" s="4" t="str">
        <f>"Führungsfortbildung"</f>
        <v>Führungsfortbildung</v>
      </c>
      <c r="H147" s="4" t="s">
        <v>11</v>
      </c>
    </row>
    <row r="148" spans="1:8" x14ac:dyDescent="0.2">
      <c r="A148" s="4" t="str">
        <f>"01.121/003/2025"</f>
        <v>01.121/003/2025</v>
      </c>
      <c r="B148" s="4" t="str">
        <f t="shared" si="6"/>
        <v>Führung II - Laterale Führung</v>
      </c>
      <c r="C148" s="5">
        <v>45770</v>
      </c>
      <c r="D148" s="5">
        <v>45814</v>
      </c>
      <c r="E148" s="4" t="str">
        <f>"2x3 Tage"</f>
        <v>2x3 Tage</v>
      </c>
      <c r="F148" s="6">
        <v>1510</v>
      </c>
      <c r="G148" s="4"/>
      <c r="H148" s="4" t="s">
        <v>11</v>
      </c>
    </row>
    <row r="149" spans="1:8" x14ac:dyDescent="0.2">
      <c r="A149" s="4" t="str">
        <f>"01.121/003 a/2025"</f>
        <v>01.121/003 a/2025</v>
      </c>
      <c r="B149" s="4" t="str">
        <f t="shared" si="6"/>
        <v>Führung II - Laterale Führung</v>
      </c>
      <c r="C149" s="5">
        <v>45770</v>
      </c>
      <c r="D149" s="5">
        <v>45772</v>
      </c>
      <c r="E149" s="4"/>
      <c r="F149" s="6" t="s">
        <v>11</v>
      </c>
      <c r="G149" s="4" t="str">
        <f>"Führungsfortbildung"</f>
        <v>Führungsfortbildung</v>
      </c>
      <c r="H149" s="4" t="s">
        <v>11</v>
      </c>
    </row>
    <row r="150" spans="1:8" x14ac:dyDescent="0.2">
      <c r="A150" s="4" t="str">
        <f>"01.121/003 b/2025"</f>
        <v>01.121/003 b/2025</v>
      </c>
      <c r="B150" s="4" t="str">
        <f t="shared" si="6"/>
        <v>Führung II - Laterale Führung</v>
      </c>
      <c r="C150" s="5">
        <v>45812</v>
      </c>
      <c r="D150" s="5">
        <v>45814</v>
      </c>
      <c r="E150" s="4"/>
      <c r="F150" s="6" t="s">
        <v>11</v>
      </c>
      <c r="G150" s="4" t="str">
        <f>"Führungsfortbildung"</f>
        <v>Führungsfortbildung</v>
      </c>
      <c r="H150" s="4" t="s">
        <v>11</v>
      </c>
    </row>
    <row r="151" spans="1:8" x14ac:dyDescent="0.2">
      <c r="A151" s="4" t="str">
        <f>"01.121/004/2025"</f>
        <v>01.121/004/2025</v>
      </c>
      <c r="B151" s="4" t="str">
        <f t="shared" si="6"/>
        <v>Führung II - Laterale Führung</v>
      </c>
      <c r="C151" s="5">
        <v>45838</v>
      </c>
      <c r="D151" s="5">
        <v>45903</v>
      </c>
      <c r="E151" s="4" t="str">
        <f>"2x3 Tage"</f>
        <v>2x3 Tage</v>
      </c>
      <c r="F151" s="6">
        <v>1510</v>
      </c>
      <c r="G151" s="4"/>
      <c r="H151" s="4" t="s">
        <v>11</v>
      </c>
    </row>
    <row r="152" spans="1:8" x14ac:dyDescent="0.2">
      <c r="A152" s="4" t="str">
        <f>"01.121/004 a/2025"</f>
        <v>01.121/004 a/2025</v>
      </c>
      <c r="B152" s="4" t="str">
        <f t="shared" si="6"/>
        <v>Führung II - Laterale Führung</v>
      </c>
      <c r="C152" s="5">
        <v>45838</v>
      </c>
      <c r="D152" s="5">
        <v>45840</v>
      </c>
      <c r="E152" s="4"/>
      <c r="F152" s="6" t="s">
        <v>11</v>
      </c>
      <c r="G152" s="4" t="str">
        <f>"Führungsfortbildung"</f>
        <v>Führungsfortbildung</v>
      </c>
      <c r="H152" s="4" t="s">
        <v>11</v>
      </c>
    </row>
    <row r="153" spans="1:8" x14ac:dyDescent="0.2">
      <c r="A153" s="4" t="str">
        <f>"01.121/004 b/2025"</f>
        <v>01.121/004 b/2025</v>
      </c>
      <c r="B153" s="4" t="str">
        <f t="shared" si="6"/>
        <v>Führung II - Laterale Führung</v>
      </c>
      <c r="C153" s="5">
        <v>45901</v>
      </c>
      <c r="D153" s="5">
        <v>45903</v>
      </c>
      <c r="E153" s="4"/>
      <c r="F153" s="6" t="s">
        <v>11</v>
      </c>
      <c r="G153" s="4" t="str">
        <f>"Führungsfortbildung"</f>
        <v>Führungsfortbildung</v>
      </c>
      <c r="H153" s="4" t="s">
        <v>11</v>
      </c>
    </row>
    <row r="154" spans="1:8" x14ac:dyDescent="0.2">
      <c r="A154" s="4" t="str">
        <f>"01.121/005/2025"</f>
        <v>01.121/005/2025</v>
      </c>
      <c r="B154" s="4" t="str">
        <f t="shared" si="6"/>
        <v>Führung II - Laterale Führung</v>
      </c>
      <c r="C154" s="5">
        <v>45896</v>
      </c>
      <c r="D154" s="5">
        <v>45973</v>
      </c>
      <c r="E154" s="4" t="str">
        <f>"2x3 Tage"</f>
        <v>2x3 Tage</v>
      </c>
      <c r="F154" s="6">
        <v>1510</v>
      </c>
      <c r="G154" s="4"/>
      <c r="H154" s="4" t="s">
        <v>11</v>
      </c>
    </row>
    <row r="155" spans="1:8" x14ac:dyDescent="0.2">
      <c r="A155" s="4" t="str">
        <f>"01.121/005 a/2025"</f>
        <v>01.121/005 a/2025</v>
      </c>
      <c r="B155" s="4" t="str">
        <f t="shared" si="6"/>
        <v>Führung II - Laterale Führung</v>
      </c>
      <c r="C155" s="5">
        <v>45896</v>
      </c>
      <c r="D155" s="5">
        <v>45898</v>
      </c>
      <c r="E155" s="4"/>
      <c r="F155" s="6" t="s">
        <v>11</v>
      </c>
      <c r="G155" s="4" t="str">
        <f>"Führungsfortbildung"</f>
        <v>Führungsfortbildung</v>
      </c>
      <c r="H155" s="4" t="s">
        <v>11</v>
      </c>
    </row>
    <row r="156" spans="1:8" x14ac:dyDescent="0.2">
      <c r="A156" s="4" t="str">
        <f>"01.121/005 b/2025"</f>
        <v>01.121/005 b/2025</v>
      </c>
      <c r="B156" s="4" t="str">
        <f t="shared" si="6"/>
        <v>Führung II - Laterale Führung</v>
      </c>
      <c r="C156" s="5">
        <v>45971</v>
      </c>
      <c r="D156" s="5">
        <v>45973</v>
      </c>
      <c r="E156" s="4"/>
      <c r="F156" s="6" t="s">
        <v>11</v>
      </c>
      <c r="G156" s="4" t="str">
        <f>"Führungsfortbildung"</f>
        <v>Führungsfortbildung</v>
      </c>
      <c r="H156" s="4" t="s">
        <v>11</v>
      </c>
    </row>
    <row r="157" spans="1:8" x14ac:dyDescent="0.2">
      <c r="A157" s="4" t="str">
        <f>"01.121/006/2025"</f>
        <v>01.121/006/2025</v>
      </c>
      <c r="B157" s="4" t="str">
        <f t="shared" si="6"/>
        <v>Führung II - Laterale Führung</v>
      </c>
      <c r="C157" s="5">
        <v>45936</v>
      </c>
      <c r="D157" s="5">
        <v>45980</v>
      </c>
      <c r="E157" s="4" t="str">
        <f>"2x3 Tage"</f>
        <v>2x3 Tage</v>
      </c>
      <c r="F157" s="6">
        <v>1510</v>
      </c>
      <c r="G157" s="4"/>
      <c r="H157" s="4" t="s">
        <v>11</v>
      </c>
    </row>
    <row r="158" spans="1:8" x14ac:dyDescent="0.2">
      <c r="A158" s="4" t="str">
        <f>"01.121/006 a/2025"</f>
        <v>01.121/006 a/2025</v>
      </c>
      <c r="B158" s="4" t="str">
        <f t="shared" si="6"/>
        <v>Führung II - Laterale Führung</v>
      </c>
      <c r="C158" s="5">
        <v>45936</v>
      </c>
      <c r="D158" s="5">
        <v>45938</v>
      </c>
      <c r="E158" s="4"/>
      <c r="F158" s="6" t="s">
        <v>11</v>
      </c>
      <c r="G158" s="4" t="str">
        <f>"Führungsfortbildung"</f>
        <v>Führungsfortbildung</v>
      </c>
      <c r="H158" s="4" t="s">
        <v>11</v>
      </c>
    </row>
    <row r="159" spans="1:8" x14ac:dyDescent="0.2">
      <c r="A159" s="4" t="str">
        <f>"01.121/006 b/2025"</f>
        <v>01.121/006 b/2025</v>
      </c>
      <c r="B159" s="4" t="str">
        <f t="shared" si="6"/>
        <v>Führung II - Laterale Führung</v>
      </c>
      <c r="C159" s="5">
        <v>45978</v>
      </c>
      <c r="D159" s="5">
        <v>45980</v>
      </c>
      <c r="E159" s="4"/>
      <c r="F159" s="6" t="s">
        <v>11</v>
      </c>
      <c r="G159" s="4" t="str">
        <f>"Führungsfortbildung"</f>
        <v>Führungsfortbildung</v>
      </c>
      <c r="H159" s="4" t="s">
        <v>11</v>
      </c>
    </row>
    <row r="160" spans="1:8" x14ac:dyDescent="0.2">
      <c r="A160" s="4" t="str">
        <f>"01.121/007/2025"</f>
        <v>01.121/007/2025</v>
      </c>
      <c r="B160" s="4" t="str">
        <f t="shared" si="6"/>
        <v>Führung II - Laterale Führung</v>
      </c>
      <c r="C160" s="5">
        <v>45999</v>
      </c>
      <c r="D160" s="5">
        <v>46064</v>
      </c>
      <c r="E160" s="4" t="str">
        <f>"2x3 Tage"</f>
        <v>2x3 Tage</v>
      </c>
      <c r="F160" s="6">
        <v>1510</v>
      </c>
      <c r="G160" s="4"/>
      <c r="H160" s="4" t="s">
        <v>11</v>
      </c>
    </row>
    <row r="161" spans="1:8" x14ac:dyDescent="0.2">
      <c r="A161" s="4" t="str">
        <f>"01.121/007 a/2025"</f>
        <v>01.121/007 a/2025</v>
      </c>
      <c r="B161" s="4" t="str">
        <f t="shared" si="6"/>
        <v>Führung II - Laterale Führung</v>
      </c>
      <c r="C161" s="5">
        <v>45999</v>
      </c>
      <c r="D161" s="5">
        <v>46001</v>
      </c>
      <c r="E161" s="4"/>
      <c r="F161" s="6" t="s">
        <v>11</v>
      </c>
      <c r="G161" s="4" t="str">
        <f>"Führungsfortbildung"</f>
        <v>Führungsfortbildung</v>
      </c>
      <c r="H161" s="4" t="s">
        <v>11</v>
      </c>
    </row>
    <row r="162" spans="1:8" x14ac:dyDescent="0.2">
      <c r="A162" s="4" t="str">
        <f>"01.121/007 b/2025"</f>
        <v>01.121/007 b/2025</v>
      </c>
      <c r="B162" s="4" t="str">
        <f t="shared" si="6"/>
        <v>Führung II - Laterale Führung</v>
      </c>
      <c r="C162" s="5">
        <v>46062</v>
      </c>
      <c r="D162" s="5">
        <v>46064</v>
      </c>
      <c r="E162" s="4"/>
      <c r="F162" s="6" t="s">
        <v>11</v>
      </c>
      <c r="G162" s="4" t="str">
        <f>"Führungsfortbildung"</f>
        <v>Führungsfortbildung</v>
      </c>
      <c r="H162" s="4" t="s">
        <v>11</v>
      </c>
    </row>
    <row r="163" spans="1:8" x14ac:dyDescent="0.2">
      <c r="A163" s="4" t="str">
        <f>"01.124/001/2025"</f>
        <v>01.124/001/2025</v>
      </c>
      <c r="B163" s="4" t="str">
        <f>"Führung III - Führung und Zusammenarbeit"</f>
        <v>Führung III - Führung und Zusammenarbeit</v>
      </c>
      <c r="C163" s="5">
        <v>45707</v>
      </c>
      <c r="D163" s="5">
        <v>45756</v>
      </c>
      <c r="E163" s="4" t="str">
        <f>"2x3 Tage"</f>
        <v>2x3 Tage</v>
      </c>
      <c r="F163" s="6">
        <v>1510</v>
      </c>
      <c r="G163" s="4"/>
      <c r="H163" s="4" t="s">
        <v>11</v>
      </c>
    </row>
    <row r="164" spans="1:8" x14ac:dyDescent="0.2">
      <c r="A164" s="4" t="str">
        <f>"01.124/001 a/2025"</f>
        <v>01.124/001 a/2025</v>
      </c>
      <c r="B164" s="4" t="str">
        <f>"Führung III - Führung und Zusammenarbeit "</f>
        <v xml:space="preserve">Führung III - Führung und Zusammenarbeit </v>
      </c>
      <c r="C164" s="5">
        <v>45707</v>
      </c>
      <c r="D164" s="5">
        <v>45709</v>
      </c>
      <c r="E164" s="4"/>
      <c r="F164" s="6" t="s">
        <v>11</v>
      </c>
      <c r="G164" s="4" t="str">
        <f>"Führungsfortbildung"</f>
        <v>Führungsfortbildung</v>
      </c>
      <c r="H164" s="4" t="s">
        <v>11</v>
      </c>
    </row>
    <row r="165" spans="1:8" x14ac:dyDescent="0.2">
      <c r="A165" s="4" t="str">
        <f>"01.124/001 b/2025"</f>
        <v>01.124/001 b/2025</v>
      </c>
      <c r="B165" s="4" t="str">
        <f>"Führung III - Führung und Zusammenarbeit "</f>
        <v xml:space="preserve">Führung III - Führung und Zusammenarbeit </v>
      </c>
      <c r="C165" s="5">
        <v>45754</v>
      </c>
      <c r="D165" s="5">
        <v>45756</v>
      </c>
      <c r="E165" s="4"/>
      <c r="F165" s="6" t="s">
        <v>11</v>
      </c>
      <c r="G165" s="4" t="str">
        <f>"Führungsfortbildung"</f>
        <v>Führungsfortbildung</v>
      </c>
      <c r="H165" s="4" t="s">
        <v>11</v>
      </c>
    </row>
    <row r="166" spans="1:8" x14ac:dyDescent="0.2">
      <c r="A166" s="4" t="str">
        <f>"01.124/002/2025"</f>
        <v>01.124/002/2025</v>
      </c>
      <c r="B166" s="4" t="str">
        <f>"Führung III - Führung und Zusammenarbeit"</f>
        <v>Führung III - Führung und Zusammenarbeit</v>
      </c>
      <c r="C166" s="5">
        <v>45733</v>
      </c>
      <c r="D166" s="5">
        <v>45777</v>
      </c>
      <c r="E166" s="4" t="str">
        <f>"2x3 Tage"</f>
        <v>2x3 Tage</v>
      </c>
      <c r="F166" s="6">
        <v>1510</v>
      </c>
      <c r="G166" s="4"/>
      <c r="H166" s="4" t="s">
        <v>11</v>
      </c>
    </row>
    <row r="167" spans="1:8" x14ac:dyDescent="0.2">
      <c r="A167" s="4" t="str">
        <f>"01.124/002 a/2025"</f>
        <v>01.124/002 a/2025</v>
      </c>
      <c r="B167" s="4" t="str">
        <f>"Führung III - Führung und Zusammenarbeit "</f>
        <v xml:space="preserve">Führung III - Führung und Zusammenarbeit </v>
      </c>
      <c r="C167" s="5">
        <v>45733</v>
      </c>
      <c r="D167" s="5">
        <v>45735</v>
      </c>
      <c r="E167" s="4"/>
      <c r="F167" s="6" t="s">
        <v>11</v>
      </c>
      <c r="G167" s="4" t="str">
        <f>"Führungsfortbildung"</f>
        <v>Führungsfortbildung</v>
      </c>
      <c r="H167" s="4" t="s">
        <v>11</v>
      </c>
    </row>
    <row r="168" spans="1:8" x14ac:dyDescent="0.2">
      <c r="A168" s="4" t="str">
        <f>"01.124/002 b/2025"</f>
        <v>01.124/002 b/2025</v>
      </c>
      <c r="B168" s="4" t="str">
        <f>"Führung III - Führung und Zusammenarbeit "</f>
        <v xml:space="preserve">Führung III - Führung und Zusammenarbeit </v>
      </c>
      <c r="C168" s="5">
        <v>45775</v>
      </c>
      <c r="D168" s="5">
        <v>45777</v>
      </c>
      <c r="E168" s="4"/>
      <c r="F168" s="6" t="s">
        <v>11</v>
      </c>
      <c r="G168" s="4" t="str">
        <f>"Führungsfortbildung"</f>
        <v>Führungsfortbildung</v>
      </c>
      <c r="H168" s="4" t="s">
        <v>11</v>
      </c>
    </row>
    <row r="169" spans="1:8" x14ac:dyDescent="0.2">
      <c r="A169" s="4" t="str">
        <f>"01.124/003/2025"</f>
        <v>01.124/003/2025</v>
      </c>
      <c r="B169" s="4" t="str">
        <f>"Führung III - Führung und Zusammenarbeit"</f>
        <v>Führung III - Führung und Zusammenarbeit</v>
      </c>
      <c r="C169" s="5">
        <v>45748</v>
      </c>
      <c r="D169" s="5">
        <v>45791</v>
      </c>
      <c r="E169" s="4" t="str">
        <f>"2x3 Tage"</f>
        <v>2x3 Tage</v>
      </c>
      <c r="F169" s="6">
        <v>1510</v>
      </c>
      <c r="G169" s="4"/>
      <c r="H169" s="4" t="s">
        <v>11</v>
      </c>
    </row>
    <row r="170" spans="1:8" x14ac:dyDescent="0.2">
      <c r="A170" s="4" t="str">
        <f>"01.124/003 a/2025"</f>
        <v>01.124/003 a/2025</v>
      </c>
      <c r="B170" s="4" t="str">
        <f>"Führung III - Führung und Zusammenarbeit "</f>
        <v xml:space="preserve">Führung III - Führung und Zusammenarbeit </v>
      </c>
      <c r="C170" s="5">
        <v>45748</v>
      </c>
      <c r="D170" s="5">
        <v>45750</v>
      </c>
      <c r="E170" s="4"/>
      <c r="F170" s="6" t="s">
        <v>11</v>
      </c>
      <c r="G170" s="4" t="str">
        <f>"Führungsfortbildung"</f>
        <v>Führungsfortbildung</v>
      </c>
      <c r="H170" s="4" t="s">
        <v>11</v>
      </c>
    </row>
    <row r="171" spans="1:8" x14ac:dyDescent="0.2">
      <c r="A171" s="4" t="str">
        <f>"01.124/003 b/2025"</f>
        <v>01.124/003 b/2025</v>
      </c>
      <c r="B171" s="4" t="str">
        <f>"Führung III - Führung und Zusammenarbeit "</f>
        <v xml:space="preserve">Führung III - Führung und Zusammenarbeit </v>
      </c>
      <c r="C171" s="5">
        <v>45789</v>
      </c>
      <c r="D171" s="5">
        <v>45791</v>
      </c>
      <c r="E171" s="4"/>
      <c r="F171" s="6" t="s">
        <v>11</v>
      </c>
      <c r="G171" s="4" t="str">
        <f>"Führungsfortbildung"</f>
        <v>Führungsfortbildung</v>
      </c>
      <c r="H171" s="4" t="s">
        <v>11</v>
      </c>
    </row>
    <row r="172" spans="1:8" x14ac:dyDescent="0.2">
      <c r="A172" s="4" t="str">
        <f>"01.124/004/2025"</f>
        <v>01.124/004/2025</v>
      </c>
      <c r="B172" s="4" t="str">
        <f>"Führung III - Führung und Zusammenarbeit"</f>
        <v>Führung III - Führung und Zusammenarbeit</v>
      </c>
      <c r="C172" s="5">
        <v>45749</v>
      </c>
      <c r="D172" s="5">
        <v>45799</v>
      </c>
      <c r="E172" s="4" t="str">
        <f>"2x3 Tage"</f>
        <v>2x3 Tage</v>
      </c>
      <c r="F172" s="6">
        <v>1510</v>
      </c>
      <c r="G172" s="4"/>
      <c r="H172" s="4" t="s">
        <v>11</v>
      </c>
    </row>
    <row r="173" spans="1:8" x14ac:dyDescent="0.2">
      <c r="A173" s="4" t="str">
        <f>"01.124/004 a/2025"</f>
        <v>01.124/004 a/2025</v>
      </c>
      <c r="B173" s="4" t="str">
        <f>"Führung III - Führung und Zusammenarbeit "</f>
        <v xml:space="preserve">Führung III - Führung und Zusammenarbeit </v>
      </c>
      <c r="C173" s="5">
        <v>45749</v>
      </c>
      <c r="D173" s="5">
        <v>45751</v>
      </c>
      <c r="E173" s="4"/>
      <c r="F173" s="6" t="s">
        <v>11</v>
      </c>
      <c r="G173" s="4" t="str">
        <f>"Führungsfortbildung"</f>
        <v>Führungsfortbildung</v>
      </c>
      <c r="H173" s="4" t="s">
        <v>11</v>
      </c>
    </row>
    <row r="174" spans="1:8" x14ac:dyDescent="0.2">
      <c r="A174" s="4" t="str">
        <f>"01.124/004 b/2025"</f>
        <v>01.124/004 b/2025</v>
      </c>
      <c r="B174" s="4" t="str">
        <f>"Führung III - Führung und Zusammenarbeit "</f>
        <v xml:space="preserve">Führung III - Führung und Zusammenarbeit </v>
      </c>
      <c r="C174" s="5">
        <v>45797</v>
      </c>
      <c r="D174" s="5">
        <v>45799</v>
      </c>
      <c r="E174" s="4"/>
      <c r="F174" s="6" t="s">
        <v>11</v>
      </c>
      <c r="G174" s="4" t="str">
        <f>"Führungsfortbildung"</f>
        <v>Führungsfortbildung</v>
      </c>
      <c r="H174" s="4" t="s">
        <v>11</v>
      </c>
    </row>
    <row r="175" spans="1:8" x14ac:dyDescent="0.2">
      <c r="A175" s="4" t="str">
        <f>"01.124/005/2025"</f>
        <v>01.124/005/2025</v>
      </c>
      <c r="B175" s="4" t="str">
        <f>"Führung III - Führung und Zusammenarbeit"</f>
        <v>Führung III - Führung und Zusammenarbeit</v>
      </c>
      <c r="C175" s="5">
        <v>45740</v>
      </c>
      <c r="D175" s="5">
        <v>45835</v>
      </c>
      <c r="E175" s="4" t="str">
        <f>"2x3 Tage"</f>
        <v>2x3 Tage</v>
      </c>
      <c r="F175" s="6">
        <v>1510</v>
      </c>
      <c r="G175" s="4"/>
      <c r="H175" s="4" t="s">
        <v>11</v>
      </c>
    </row>
    <row r="176" spans="1:8" x14ac:dyDescent="0.2">
      <c r="A176" s="4" t="str">
        <f>"01.124/005 a/2025"</f>
        <v>01.124/005 a/2025</v>
      </c>
      <c r="B176" s="4" t="str">
        <f>"Führung III - Führung und Zusammenarbeit "</f>
        <v xml:space="preserve">Führung III - Führung und Zusammenarbeit </v>
      </c>
      <c r="C176" s="5">
        <v>45740</v>
      </c>
      <c r="D176" s="5">
        <v>45742</v>
      </c>
      <c r="E176" s="4"/>
      <c r="F176" s="6" t="s">
        <v>11</v>
      </c>
      <c r="G176" s="4" t="str">
        <f>"Führungsfortbildung"</f>
        <v>Führungsfortbildung</v>
      </c>
      <c r="H176" s="4" t="s">
        <v>11</v>
      </c>
    </row>
    <row r="177" spans="1:8" x14ac:dyDescent="0.2">
      <c r="A177" s="4" t="str">
        <f>"01.124/005 b/2025"</f>
        <v>01.124/005 b/2025</v>
      </c>
      <c r="B177" s="4" t="str">
        <f>"Führung III - Führung und Zusammenarbeit "</f>
        <v xml:space="preserve">Führung III - Führung und Zusammenarbeit </v>
      </c>
      <c r="C177" s="5">
        <v>45833</v>
      </c>
      <c r="D177" s="5">
        <v>45835</v>
      </c>
      <c r="E177" s="4"/>
      <c r="F177" s="6" t="s">
        <v>11</v>
      </c>
      <c r="G177" s="4" t="str">
        <f>"Führungsfortbildung"</f>
        <v>Führungsfortbildung</v>
      </c>
      <c r="H177" s="4" t="s">
        <v>11</v>
      </c>
    </row>
    <row r="178" spans="1:8" x14ac:dyDescent="0.2">
      <c r="A178" s="4" t="str">
        <f>"01.124/006/2025"</f>
        <v>01.124/006/2025</v>
      </c>
      <c r="B178" s="4" t="str">
        <f>"Führung III - Führung und Zusammenarbeit"</f>
        <v>Führung III - Führung und Zusammenarbeit</v>
      </c>
      <c r="C178" s="5">
        <v>45782</v>
      </c>
      <c r="D178" s="5">
        <v>45812</v>
      </c>
      <c r="E178" s="4" t="str">
        <f>"2x3 Tage"</f>
        <v>2x3 Tage</v>
      </c>
      <c r="F178" s="6">
        <v>1510</v>
      </c>
      <c r="G178" s="4"/>
      <c r="H178" s="4" t="s">
        <v>11</v>
      </c>
    </row>
    <row r="179" spans="1:8" x14ac:dyDescent="0.2">
      <c r="A179" s="4" t="str">
        <f>"01.124/006 a/2025"</f>
        <v>01.124/006 a/2025</v>
      </c>
      <c r="B179" s="4" t="str">
        <f>"Führung III - Führung und Zusammenarbeit "</f>
        <v xml:space="preserve">Führung III - Führung und Zusammenarbeit </v>
      </c>
      <c r="C179" s="5">
        <v>45782</v>
      </c>
      <c r="D179" s="5">
        <v>45784</v>
      </c>
      <c r="E179" s="4"/>
      <c r="F179" s="6" t="s">
        <v>11</v>
      </c>
      <c r="G179" s="4" t="str">
        <f>"Führungsfortbildung"</f>
        <v>Führungsfortbildung</v>
      </c>
      <c r="H179" s="4" t="s">
        <v>11</v>
      </c>
    </row>
    <row r="180" spans="1:8" x14ac:dyDescent="0.2">
      <c r="A180" s="4" t="str">
        <f>"01.124/006 b/2025"</f>
        <v>01.124/006 b/2025</v>
      </c>
      <c r="B180" s="4" t="str">
        <f>"Führung III - Führung und Zusammenarbeit "</f>
        <v xml:space="preserve">Führung III - Führung und Zusammenarbeit </v>
      </c>
      <c r="C180" s="5">
        <v>45810</v>
      </c>
      <c r="D180" s="5">
        <v>45812</v>
      </c>
      <c r="E180" s="4"/>
      <c r="F180" s="6" t="s">
        <v>11</v>
      </c>
      <c r="G180" s="4" t="str">
        <f>"Führungsfortbildung"</f>
        <v>Führungsfortbildung</v>
      </c>
      <c r="H180" s="4" t="s">
        <v>11</v>
      </c>
    </row>
    <row r="181" spans="1:8" x14ac:dyDescent="0.2">
      <c r="A181" s="4" t="str">
        <f>"01.124/007/2025"</f>
        <v>01.124/007/2025</v>
      </c>
      <c r="B181" s="4" t="str">
        <f>"Führung III - Führung und Zusammenarbeit"</f>
        <v>Führung III - Führung und Zusammenarbeit</v>
      </c>
      <c r="C181" s="5">
        <v>45924</v>
      </c>
      <c r="D181" s="5">
        <v>45973</v>
      </c>
      <c r="E181" s="4" t="str">
        <f>"2x3 Tage"</f>
        <v>2x3 Tage</v>
      </c>
      <c r="F181" s="6">
        <v>1510</v>
      </c>
      <c r="G181" s="4"/>
      <c r="H181" s="4" t="s">
        <v>11</v>
      </c>
    </row>
    <row r="182" spans="1:8" x14ac:dyDescent="0.2">
      <c r="A182" s="4" t="str">
        <f>"01.124/007 a/2025"</f>
        <v>01.124/007 a/2025</v>
      </c>
      <c r="B182" s="4" t="str">
        <f>"Führung III - Führung und Zusammenarbeit "</f>
        <v xml:space="preserve">Führung III - Führung und Zusammenarbeit </v>
      </c>
      <c r="C182" s="5">
        <v>45924</v>
      </c>
      <c r="D182" s="5">
        <v>45926</v>
      </c>
      <c r="E182" s="4"/>
      <c r="F182" s="6" t="s">
        <v>11</v>
      </c>
      <c r="G182" s="4" t="str">
        <f>"Führungsfortbildung"</f>
        <v>Führungsfortbildung</v>
      </c>
      <c r="H182" s="4" t="s">
        <v>11</v>
      </c>
    </row>
    <row r="183" spans="1:8" x14ac:dyDescent="0.2">
      <c r="A183" s="4" t="str">
        <f>"01.124/007 b/2025"</f>
        <v>01.124/007 b/2025</v>
      </c>
      <c r="B183" s="4" t="str">
        <f>"Führung III - Führung und Zusammenarbeit "</f>
        <v xml:space="preserve">Führung III - Führung und Zusammenarbeit </v>
      </c>
      <c r="C183" s="5">
        <v>45971</v>
      </c>
      <c r="D183" s="5">
        <v>45973</v>
      </c>
      <c r="E183" s="4"/>
      <c r="F183" s="6" t="s">
        <v>11</v>
      </c>
      <c r="G183" s="4" t="str">
        <f>"Führungsfortbildung"</f>
        <v>Führungsfortbildung</v>
      </c>
      <c r="H183" s="4" t="s">
        <v>11</v>
      </c>
    </row>
    <row r="184" spans="1:8" x14ac:dyDescent="0.2">
      <c r="A184" s="4" t="str">
        <f>"01.130/001/2025"</f>
        <v>01.130/001/2025</v>
      </c>
      <c r="B184" s="4" t="str">
        <f>"Führen im ersten Einstiegsamt der Laufbahngruppe 2"</f>
        <v>Führen im ersten Einstiegsamt der Laufbahngruppe 2</v>
      </c>
      <c r="C184" s="5">
        <v>45670</v>
      </c>
      <c r="D184" s="5">
        <v>45832</v>
      </c>
      <c r="E184" s="4" t="str">
        <f>"1x3 Tage, 3x2 Tage"</f>
        <v>1x3 Tage, 3x2 Tage</v>
      </c>
      <c r="F184" s="6">
        <v>2240</v>
      </c>
      <c r="G184" s="4"/>
      <c r="H184" s="4" t="s">
        <v>11</v>
      </c>
    </row>
    <row r="185" spans="1:8" x14ac:dyDescent="0.2">
      <c r="A185" s="4" t="str">
        <f>"01.130/001 a/2025"</f>
        <v>01.130/001 a/2025</v>
      </c>
      <c r="B185" s="4" t="str">
        <f>"Führungstraining für Beschäftigte im ersten Einstiegsamt der Laufbahngruppe 2"</f>
        <v>Führungstraining für Beschäftigte im ersten Einstiegsamt der Laufbahngruppe 2</v>
      </c>
      <c r="C185" s="5">
        <v>45670</v>
      </c>
      <c r="D185" s="5">
        <v>45672</v>
      </c>
      <c r="E185" s="4"/>
      <c r="F185" s="6" t="s">
        <v>11</v>
      </c>
      <c r="G185" s="4" t="str">
        <f>"Führungsfortbildung"</f>
        <v>Führungsfortbildung</v>
      </c>
      <c r="H185" s="4" t="s">
        <v>11</v>
      </c>
    </row>
    <row r="186" spans="1:8" x14ac:dyDescent="0.2">
      <c r="A186" s="4" t="str">
        <f>"01.130/001 b/2025"</f>
        <v>01.130/001 b/2025</v>
      </c>
      <c r="B186" s="4" t="str">
        <f>"Führungstraining für Beschäftigte im ersten Einstiegsamt der Laufbahngruppe 2"</f>
        <v>Führungstraining für Beschäftigte im ersten Einstiegsamt der Laufbahngruppe 2</v>
      </c>
      <c r="C186" s="5">
        <v>45699</v>
      </c>
      <c r="D186" s="5">
        <v>45700</v>
      </c>
      <c r="E186" s="4"/>
      <c r="F186" s="6" t="s">
        <v>11</v>
      </c>
      <c r="G186" s="4" t="str">
        <f>"Führungsfortbildung"</f>
        <v>Führungsfortbildung</v>
      </c>
      <c r="H186" s="4" t="s">
        <v>11</v>
      </c>
    </row>
    <row r="187" spans="1:8" x14ac:dyDescent="0.2">
      <c r="A187" s="4" t="str">
        <f>"01.130/001 c/2025"</f>
        <v>01.130/001 c/2025</v>
      </c>
      <c r="B187" s="4" t="str">
        <f>"Führungstraining für Beschäftigte im ersten Einstiegsamt der Laufbahngruppe 2"</f>
        <v>Führungstraining für Beschäftigte im ersten Einstiegsamt der Laufbahngruppe 2</v>
      </c>
      <c r="C187" s="5">
        <v>45729</v>
      </c>
      <c r="D187" s="5">
        <v>45730</v>
      </c>
      <c r="E187" s="4"/>
      <c r="F187" s="6" t="s">
        <v>11</v>
      </c>
      <c r="G187" s="4" t="str">
        <f>"Führungsfortbildung"</f>
        <v>Führungsfortbildung</v>
      </c>
      <c r="H187" s="4" t="s">
        <v>11</v>
      </c>
    </row>
    <row r="188" spans="1:8" x14ac:dyDescent="0.2">
      <c r="A188" s="4" t="str">
        <f>"01.130/001 d/2025"</f>
        <v>01.130/001 d/2025</v>
      </c>
      <c r="B188" s="4" t="str">
        <f>"Führungstraining für Beschäftigte im ersten Einstiegsamt der Laufbahngruppe 2"</f>
        <v>Führungstraining für Beschäftigte im ersten Einstiegsamt der Laufbahngruppe 2</v>
      </c>
      <c r="C188" s="5">
        <v>45831</v>
      </c>
      <c r="D188" s="5">
        <v>45832</v>
      </c>
      <c r="E188" s="4"/>
      <c r="F188" s="6" t="s">
        <v>11</v>
      </c>
      <c r="G188" s="4" t="str">
        <f>"Führungsfortbildung"</f>
        <v>Führungsfortbildung</v>
      </c>
      <c r="H188" s="4" t="s">
        <v>11</v>
      </c>
    </row>
    <row r="189" spans="1:8" x14ac:dyDescent="0.2">
      <c r="A189" s="4" t="str">
        <f>"01.130/002/2025"</f>
        <v>01.130/002/2025</v>
      </c>
      <c r="B189" s="4" t="str">
        <f>"Führen im ersten Einstiegsamt der Laufbahngruppe 2 - Blended"</f>
        <v>Führen im ersten Einstiegsamt der Laufbahngruppe 2 - Blended</v>
      </c>
      <c r="C189" s="5">
        <v>45698</v>
      </c>
      <c r="D189" s="5">
        <v>45846</v>
      </c>
      <c r="E189" s="4" t="str">
        <f>"1x3 Tage, 3x2 Tage"</f>
        <v>1x3 Tage, 3x2 Tage</v>
      </c>
      <c r="F189" s="6">
        <v>2240</v>
      </c>
      <c r="G189" s="4"/>
      <c r="H189" s="4" t="s">
        <v>11</v>
      </c>
    </row>
    <row r="190" spans="1:8" x14ac:dyDescent="0.2">
      <c r="A190" s="4" t="str">
        <f>"01.130/002 a/2025"</f>
        <v>01.130/002 a/2025</v>
      </c>
      <c r="B190" s="4" t="str">
        <f>"Führungstraining für Beschäftigte im ersten Einstiegsamt der Laufbahngruppe 2 - Blended"</f>
        <v>Führungstraining für Beschäftigte im ersten Einstiegsamt der Laufbahngruppe 2 - Blended</v>
      </c>
      <c r="C190" s="5">
        <v>45698</v>
      </c>
      <c r="D190" s="5">
        <v>45700</v>
      </c>
      <c r="E190" s="4"/>
      <c r="F190" s="6" t="s">
        <v>11</v>
      </c>
      <c r="G190" s="4" t="str">
        <f>"Führungsfortbildung"</f>
        <v>Führungsfortbildung</v>
      </c>
      <c r="H190" s="4" t="s">
        <v>11</v>
      </c>
    </row>
    <row r="191" spans="1:8" x14ac:dyDescent="0.2">
      <c r="A191" s="4" t="str">
        <f>"01.130/002 b/2025"</f>
        <v>01.130/002 b/2025</v>
      </c>
      <c r="B191" s="4" t="str">
        <f>"Führungstraining für Beschäftigte im ersten Einstiegsamt der Laufbahngruppe 2 - Blended"</f>
        <v>Führungstraining für Beschäftigte im ersten Einstiegsamt der Laufbahngruppe 2 - Blended</v>
      </c>
      <c r="C191" s="5">
        <v>45733</v>
      </c>
      <c r="D191" s="5">
        <v>45734</v>
      </c>
      <c r="E191" s="4"/>
      <c r="F191" s="6" t="s">
        <v>11</v>
      </c>
      <c r="G191" s="4" t="str">
        <f>"Führungsfortbildung"</f>
        <v>Führungsfortbildung</v>
      </c>
      <c r="H191" s="4" t="s">
        <v>11</v>
      </c>
    </row>
    <row r="192" spans="1:8" x14ac:dyDescent="0.2">
      <c r="A192" s="4" t="str">
        <f>"01.130/002 c/2025"</f>
        <v>01.130/002 c/2025</v>
      </c>
      <c r="B192" s="4" t="str">
        <f>"Führungstraining für Beschäftigte im ersten Einstiegsamt der Laufbahngruppe 2 - Blended"</f>
        <v>Führungstraining für Beschäftigte im ersten Einstiegsamt der Laufbahngruppe 2 - Blended</v>
      </c>
      <c r="C192" s="5">
        <v>45789</v>
      </c>
      <c r="D192" s="5">
        <v>45790</v>
      </c>
      <c r="E192" s="4"/>
      <c r="F192" s="6" t="s">
        <v>11</v>
      </c>
      <c r="G192" s="4" t="str">
        <f>"Führungsfortbildung"</f>
        <v>Führungsfortbildung</v>
      </c>
      <c r="H192" s="4" t="s">
        <v>11</v>
      </c>
    </row>
    <row r="193" spans="1:8" x14ac:dyDescent="0.2">
      <c r="A193" s="4" t="str">
        <f>"01.130/002 d/2025"</f>
        <v>01.130/002 d/2025</v>
      </c>
      <c r="B193" s="4" t="str">
        <f>"Führungstraining für Beschäftigte im ersten Einstiegsamt der Laufbahngruppe 2 - Blended"</f>
        <v>Führungstraining für Beschäftigte im ersten Einstiegsamt der Laufbahngruppe 2 - Blended</v>
      </c>
      <c r="C193" s="5">
        <v>45845</v>
      </c>
      <c r="D193" s="5">
        <v>45846</v>
      </c>
      <c r="E193" s="4"/>
      <c r="F193" s="6" t="s">
        <v>11</v>
      </c>
      <c r="G193" s="4" t="str">
        <f>"Führungsfortbildung"</f>
        <v>Führungsfortbildung</v>
      </c>
      <c r="H193" s="4" t="s">
        <v>11</v>
      </c>
    </row>
    <row r="194" spans="1:8" x14ac:dyDescent="0.2">
      <c r="A194" s="4" t="str">
        <f>"01.130/003/2025"</f>
        <v>01.130/003/2025</v>
      </c>
      <c r="B194" s="4" t="str">
        <f>"Führen im ersten Einstiegsamt der Laufbahngruppe 2"</f>
        <v>Führen im ersten Einstiegsamt der Laufbahngruppe 2</v>
      </c>
      <c r="C194" s="5">
        <v>45714</v>
      </c>
      <c r="D194" s="5">
        <v>45793</v>
      </c>
      <c r="E194" s="4" t="str">
        <f>"1x3 Tage, 3x2 Tage"</f>
        <v>1x3 Tage, 3x2 Tage</v>
      </c>
      <c r="F194" s="6">
        <v>2240</v>
      </c>
      <c r="G194" s="4"/>
      <c r="H194" s="4" t="s">
        <v>11</v>
      </c>
    </row>
    <row r="195" spans="1:8" x14ac:dyDescent="0.2">
      <c r="A195" s="4" t="str">
        <f>"01.130/003 a/2025"</f>
        <v>01.130/003 a/2025</v>
      </c>
      <c r="B195" s="4" t="str">
        <f>"Führungstraining für Beschäftigte im ersten Einstiegsamt der Laufbahngruppe 2"</f>
        <v>Führungstraining für Beschäftigte im ersten Einstiegsamt der Laufbahngruppe 2</v>
      </c>
      <c r="C195" s="5">
        <v>45714</v>
      </c>
      <c r="D195" s="5">
        <v>45716</v>
      </c>
      <c r="E195" s="4"/>
      <c r="F195" s="6" t="s">
        <v>11</v>
      </c>
      <c r="G195" s="4" t="str">
        <f>"Führungsfortbildung"</f>
        <v>Führungsfortbildung</v>
      </c>
      <c r="H195" s="4" t="s">
        <v>11</v>
      </c>
    </row>
    <row r="196" spans="1:8" x14ac:dyDescent="0.2">
      <c r="A196" s="4" t="str">
        <f>"01.130/003 b/2025"</f>
        <v>01.130/003 b/2025</v>
      </c>
      <c r="B196" s="4" t="str">
        <f>"Führungstraining für Beschäftigte im ersten Einstiegsamt der Laufbahngruppe 2"</f>
        <v>Führungstraining für Beschäftigte im ersten Einstiegsamt der Laufbahngruppe 2</v>
      </c>
      <c r="C196" s="5">
        <v>45754</v>
      </c>
      <c r="D196" s="5">
        <v>45755</v>
      </c>
      <c r="E196" s="4"/>
      <c r="F196" s="6" t="s">
        <v>11</v>
      </c>
      <c r="G196" s="4" t="str">
        <f>"Führungsfortbildung"</f>
        <v>Führungsfortbildung</v>
      </c>
      <c r="H196" s="4" t="s">
        <v>11</v>
      </c>
    </row>
    <row r="197" spans="1:8" x14ac:dyDescent="0.2">
      <c r="A197" s="4" t="str">
        <f>"01.130/003 c/2025"</f>
        <v>01.130/003 c/2025</v>
      </c>
      <c r="B197" s="4" t="str">
        <f>"Führungstraining für Beschäftigte im ersten Einstiegsamt der Laufbahngruppe 2"</f>
        <v>Führungstraining für Beschäftigte im ersten Einstiegsamt der Laufbahngruppe 2</v>
      </c>
      <c r="C197" s="5">
        <v>45771</v>
      </c>
      <c r="D197" s="5">
        <v>45772</v>
      </c>
      <c r="E197" s="4"/>
      <c r="F197" s="6" t="s">
        <v>11</v>
      </c>
      <c r="G197" s="4" t="str">
        <f>"Führungsfortbildung"</f>
        <v>Führungsfortbildung</v>
      </c>
      <c r="H197" s="4" t="s">
        <v>11</v>
      </c>
    </row>
    <row r="198" spans="1:8" x14ac:dyDescent="0.2">
      <c r="A198" s="4" t="str">
        <f>"01.130/003 d/2025"</f>
        <v>01.130/003 d/2025</v>
      </c>
      <c r="B198" s="4" t="str">
        <f>"Führungstraining für Beschäftigte im ersten Einstiegsamt der Laufbahngruppe 2"</f>
        <v>Führungstraining für Beschäftigte im ersten Einstiegsamt der Laufbahngruppe 2</v>
      </c>
      <c r="C198" s="5">
        <v>45792</v>
      </c>
      <c r="D198" s="5">
        <v>45793</v>
      </c>
      <c r="E198" s="4"/>
      <c r="F198" s="6" t="s">
        <v>11</v>
      </c>
      <c r="G198" s="4" t="str">
        <f>"Führungsfortbildung"</f>
        <v>Führungsfortbildung</v>
      </c>
      <c r="H198" s="4" t="s">
        <v>11</v>
      </c>
    </row>
    <row r="199" spans="1:8" x14ac:dyDescent="0.2">
      <c r="A199" s="4" t="str">
        <f>"01.130/004/2025"</f>
        <v>01.130/004/2025</v>
      </c>
      <c r="B199" s="4" t="str">
        <f>"Führen im ersten Einstiegsamt der Laufbahngruppe 2"</f>
        <v>Führen im ersten Einstiegsamt der Laufbahngruppe 2</v>
      </c>
      <c r="C199" s="5">
        <v>45749</v>
      </c>
      <c r="D199" s="5">
        <v>45954</v>
      </c>
      <c r="E199" s="4" t="str">
        <f>"1x3 Tage, 3x2 Tage"</f>
        <v>1x3 Tage, 3x2 Tage</v>
      </c>
      <c r="F199" s="6">
        <v>2240</v>
      </c>
      <c r="G199" s="4"/>
      <c r="H199" s="4" t="s">
        <v>11</v>
      </c>
    </row>
    <row r="200" spans="1:8" x14ac:dyDescent="0.2">
      <c r="A200" s="4" t="str">
        <f>"01.130/004 a/2025"</f>
        <v>01.130/004 a/2025</v>
      </c>
      <c r="B200" s="4" t="str">
        <f>"Führungstraining für Beschäftigte im ersten Einstiegsamt der Laufbahngruppe 2"</f>
        <v>Führungstraining für Beschäftigte im ersten Einstiegsamt der Laufbahngruppe 2</v>
      </c>
      <c r="C200" s="5">
        <v>45749</v>
      </c>
      <c r="D200" s="5">
        <v>45751</v>
      </c>
      <c r="E200" s="4"/>
      <c r="F200" s="6" t="s">
        <v>11</v>
      </c>
      <c r="G200" s="4" t="str">
        <f>"Führungsfortbildung"</f>
        <v>Führungsfortbildung</v>
      </c>
      <c r="H200" s="4" t="s">
        <v>11</v>
      </c>
    </row>
    <row r="201" spans="1:8" x14ac:dyDescent="0.2">
      <c r="A201" s="4" t="str">
        <f>"01.130/004 b/2025"</f>
        <v>01.130/004 b/2025</v>
      </c>
      <c r="B201" s="4" t="str">
        <f>"Führungstraining für Beschäftigte im ersten Einstiegsamt der Laufbahngruppe 2"</f>
        <v>Führungstraining für Beschäftigte im ersten Einstiegsamt der Laufbahngruppe 2</v>
      </c>
      <c r="C201" s="5">
        <v>45792</v>
      </c>
      <c r="D201" s="5">
        <v>45793</v>
      </c>
      <c r="E201" s="4"/>
      <c r="F201" s="6" t="s">
        <v>11</v>
      </c>
      <c r="G201" s="4" t="str">
        <f>"Führungsfortbildung"</f>
        <v>Führungsfortbildung</v>
      </c>
      <c r="H201" s="4" t="s">
        <v>11</v>
      </c>
    </row>
    <row r="202" spans="1:8" x14ac:dyDescent="0.2">
      <c r="A202" s="4" t="str">
        <f>"01.130/004 c/2025"</f>
        <v>01.130/004 c/2025</v>
      </c>
      <c r="B202" s="4" t="str">
        <f>"Führungstraining für Beschäftigte im ersten Einstiegsamt der Laufbahngruppe 2"</f>
        <v>Führungstraining für Beschäftigte im ersten Einstiegsamt der Laufbahngruppe 2</v>
      </c>
      <c r="C202" s="5">
        <v>45908</v>
      </c>
      <c r="D202" s="5">
        <v>45909</v>
      </c>
      <c r="E202" s="4"/>
      <c r="F202" s="6" t="s">
        <v>11</v>
      </c>
      <c r="G202" s="4" t="str">
        <f>"Führungsfortbildung"</f>
        <v>Führungsfortbildung</v>
      </c>
      <c r="H202" s="4" t="s">
        <v>11</v>
      </c>
    </row>
    <row r="203" spans="1:8" x14ac:dyDescent="0.2">
      <c r="A203" s="4" t="str">
        <f>"01.130/004 d/2025"</f>
        <v>01.130/004 d/2025</v>
      </c>
      <c r="B203" s="4" t="str">
        <f>"Führungstraining für Beschäftigte im ersten Einstiegsamt der Laufbahngruppe 2"</f>
        <v>Führungstraining für Beschäftigte im ersten Einstiegsamt der Laufbahngruppe 2</v>
      </c>
      <c r="C203" s="5">
        <v>45953</v>
      </c>
      <c r="D203" s="5">
        <v>45954</v>
      </c>
      <c r="E203" s="4"/>
      <c r="F203" s="6" t="s">
        <v>11</v>
      </c>
      <c r="G203" s="4" t="str">
        <f>"Führungsfortbildung"</f>
        <v>Führungsfortbildung</v>
      </c>
      <c r="H203" s="4" t="s">
        <v>11</v>
      </c>
    </row>
    <row r="204" spans="1:8" x14ac:dyDescent="0.2">
      <c r="A204" s="4" t="str">
        <f>"01.130/005/2025"</f>
        <v>01.130/005/2025</v>
      </c>
      <c r="B204" s="4" t="str">
        <f>"Führen im ersten Einstiegsamt der Laufbahngruppe 2"</f>
        <v>Führen im ersten Einstiegsamt der Laufbahngruppe 2</v>
      </c>
      <c r="C204" s="5">
        <v>45754</v>
      </c>
      <c r="D204" s="5">
        <v>45960</v>
      </c>
      <c r="E204" s="4" t="str">
        <f>"1x3 Tage, 3x2 Tage"</f>
        <v>1x3 Tage, 3x2 Tage</v>
      </c>
      <c r="F204" s="6">
        <v>2240</v>
      </c>
      <c r="G204" s="4"/>
      <c r="H204" s="4" t="s">
        <v>11</v>
      </c>
    </row>
    <row r="205" spans="1:8" x14ac:dyDescent="0.2">
      <c r="A205" s="4" t="str">
        <f>"01.130/005 a/2025"</f>
        <v>01.130/005 a/2025</v>
      </c>
      <c r="B205" s="4" t="str">
        <f>"Führungstraining für Beschäftigte im ersten Einstiegsamt der Laufbahngruppe 2"</f>
        <v>Führungstraining für Beschäftigte im ersten Einstiegsamt der Laufbahngruppe 2</v>
      </c>
      <c r="C205" s="5">
        <v>45754</v>
      </c>
      <c r="D205" s="5">
        <v>45756</v>
      </c>
      <c r="E205" s="4"/>
      <c r="F205" s="6" t="s">
        <v>11</v>
      </c>
      <c r="G205" s="4" t="str">
        <f>"Führungsfortbildung"</f>
        <v>Führungsfortbildung</v>
      </c>
      <c r="H205" s="4" t="s">
        <v>11</v>
      </c>
    </row>
    <row r="206" spans="1:8" x14ac:dyDescent="0.2">
      <c r="A206" s="4" t="str">
        <f>"01.130/005 b/2025"</f>
        <v>01.130/005 b/2025</v>
      </c>
      <c r="B206" s="4" t="str">
        <f>"Führungstraining für Beschäftigte im ersten Einstiegsamt der Laufbahngruppe 2"</f>
        <v>Führungstraining für Beschäftigte im ersten Einstiegsamt der Laufbahngruppe 2</v>
      </c>
      <c r="C206" s="5">
        <v>45831</v>
      </c>
      <c r="D206" s="5">
        <v>45832</v>
      </c>
      <c r="E206" s="4"/>
      <c r="F206" s="6" t="s">
        <v>11</v>
      </c>
      <c r="G206" s="4" t="str">
        <f>"Führungsfortbildung"</f>
        <v>Führungsfortbildung</v>
      </c>
      <c r="H206" s="4" t="s">
        <v>11</v>
      </c>
    </row>
    <row r="207" spans="1:8" x14ac:dyDescent="0.2">
      <c r="A207" s="4" t="str">
        <f>"01.130/005 c/2025"</f>
        <v>01.130/005 c/2025</v>
      </c>
      <c r="B207" s="4" t="str">
        <f>"Führungstraining für Beschäftigte im ersten Einstiegsamt der Laufbahngruppe 2"</f>
        <v>Führungstraining für Beschäftigte im ersten Einstiegsamt der Laufbahngruppe 2</v>
      </c>
      <c r="C207" s="5">
        <v>45861</v>
      </c>
      <c r="D207" s="5">
        <v>45862</v>
      </c>
      <c r="E207" s="4"/>
      <c r="F207" s="6" t="s">
        <v>11</v>
      </c>
      <c r="G207" s="4" t="str">
        <f>"Führungsfortbildung"</f>
        <v>Führungsfortbildung</v>
      </c>
      <c r="H207" s="4" t="s">
        <v>11</v>
      </c>
    </row>
    <row r="208" spans="1:8" x14ac:dyDescent="0.2">
      <c r="A208" s="4" t="str">
        <f>"01.130/005 d/2025"</f>
        <v>01.130/005 d/2025</v>
      </c>
      <c r="B208" s="4" t="str">
        <f>"Führungstraining für Beschäftigte im ersten Einstiegsamt der Laufbahngruppe 2"</f>
        <v>Führungstraining für Beschäftigte im ersten Einstiegsamt der Laufbahngruppe 2</v>
      </c>
      <c r="C208" s="5">
        <v>45959</v>
      </c>
      <c r="D208" s="5">
        <v>45960</v>
      </c>
      <c r="E208" s="4"/>
      <c r="F208" s="6" t="s">
        <v>11</v>
      </c>
      <c r="G208" s="4" t="str">
        <f>"Führungsfortbildung"</f>
        <v>Führungsfortbildung</v>
      </c>
      <c r="H208" s="4" t="s">
        <v>11</v>
      </c>
    </row>
    <row r="209" spans="1:8" x14ac:dyDescent="0.2">
      <c r="A209" s="4" t="str">
        <f>"01.130/006/2025"</f>
        <v>01.130/006/2025</v>
      </c>
      <c r="B209" s="4" t="str">
        <f>"Führen im ersten Einstiegsamt der Laufbahngruppe 2"</f>
        <v>Führen im ersten Einstiegsamt der Laufbahngruppe 2</v>
      </c>
      <c r="C209" s="5">
        <v>45854</v>
      </c>
      <c r="D209" s="5">
        <v>46007</v>
      </c>
      <c r="E209" s="4" t="str">
        <f>"1x3 Tage, 3x2 Tage"</f>
        <v>1x3 Tage, 3x2 Tage</v>
      </c>
      <c r="F209" s="6">
        <v>2240</v>
      </c>
      <c r="G209" s="4"/>
      <c r="H209" s="4" t="s">
        <v>11</v>
      </c>
    </row>
    <row r="210" spans="1:8" x14ac:dyDescent="0.2">
      <c r="A210" s="4" t="str">
        <f>"01.130/006 a/2025"</f>
        <v>01.130/006 a/2025</v>
      </c>
      <c r="B210" s="4" t="str">
        <f>"Führungstraining für Beschäftigte im ersten Einstiegsamt der Laufbahngruppe 2"</f>
        <v>Führungstraining für Beschäftigte im ersten Einstiegsamt der Laufbahngruppe 2</v>
      </c>
      <c r="C210" s="5">
        <v>45854</v>
      </c>
      <c r="D210" s="5">
        <v>45856</v>
      </c>
      <c r="E210" s="4"/>
      <c r="F210" s="6" t="s">
        <v>11</v>
      </c>
      <c r="G210" s="4" t="str">
        <f>"Führungsfortbildung"</f>
        <v>Führungsfortbildung</v>
      </c>
      <c r="H210" s="4" t="s">
        <v>11</v>
      </c>
    </row>
    <row r="211" spans="1:8" x14ac:dyDescent="0.2">
      <c r="A211" s="4" t="str">
        <f>"01.130/006 b/2025"</f>
        <v>01.130/006 b/2025</v>
      </c>
      <c r="B211" s="4" t="str">
        <f>"Führungstraining für Beschäftigte im ersten Einstiegsamt der Laufbahngruppe 2"</f>
        <v>Führungstraining für Beschäftigte im ersten Einstiegsamt der Laufbahngruppe 2</v>
      </c>
      <c r="C211" s="5">
        <v>45922</v>
      </c>
      <c r="D211" s="5">
        <v>45923</v>
      </c>
      <c r="E211" s="4"/>
      <c r="F211" s="6" t="s">
        <v>11</v>
      </c>
      <c r="G211" s="4" t="str">
        <f>"Führungsfortbildung"</f>
        <v>Führungsfortbildung</v>
      </c>
      <c r="H211" s="4" t="s">
        <v>11</v>
      </c>
    </row>
    <row r="212" spans="1:8" x14ac:dyDescent="0.2">
      <c r="A212" s="4" t="str">
        <f>"01.130/006 c/2025"</f>
        <v>01.130/006 c/2025</v>
      </c>
      <c r="B212" s="4" t="str">
        <f>"Führungstraining für Beschäftigte im ersten Einstiegsamt der Laufbahngruppe 2"</f>
        <v>Führungstraining für Beschäftigte im ersten Einstiegsamt der Laufbahngruppe 2</v>
      </c>
      <c r="C212" s="5">
        <v>45985</v>
      </c>
      <c r="D212" s="5">
        <v>45986</v>
      </c>
      <c r="E212" s="4"/>
      <c r="F212" s="6" t="s">
        <v>11</v>
      </c>
      <c r="G212" s="4" t="str">
        <f>"Führungsfortbildung"</f>
        <v>Führungsfortbildung</v>
      </c>
      <c r="H212" s="4" t="s">
        <v>11</v>
      </c>
    </row>
    <row r="213" spans="1:8" x14ac:dyDescent="0.2">
      <c r="A213" s="4" t="str">
        <f>"01.130/006 d/2025"</f>
        <v>01.130/006 d/2025</v>
      </c>
      <c r="B213" s="4" t="str">
        <f>"Führungstraining für Beschäftigte im ersten Einstiegsamt der Laufbahngruppe 2"</f>
        <v>Führungstraining für Beschäftigte im ersten Einstiegsamt der Laufbahngruppe 2</v>
      </c>
      <c r="C213" s="5">
        <v>46006</v>
      </c>
      <c r="D213" s="5">
        <v>46007</v>
      </c>
      <c r="E213" s="4"/>
      <c r="F213" s="6" t="s">
        <v>11</v>
      </c>
      <c r="G213" s="4" t="str">
        <f>"Führungsfortbildung"</f>
        <v>Führungsfortbildung</v>
      </c>
      <c r="H213" s="4" t="s">
        <v>11</v>
      </c>
    </row>
    <row r="214" spans="1:8" x14ac:dyDescent="0.2">
      <c r="A214" s="4" t="str">
        <f>"01.135/001/2025"</f>
        <v>01.135/001/2025</v>
      </c>
      <c r="B214" s="4" t="str">
        <f>"Führung on demand: Führen in Vertretung im ersten Einstiegsamt der Laufbahngruppe 2"</f>
        <v>Führung on demand: Führen in Vertretung im ersten Einstiegsamt der Laufbahngruppe 2</v>
      </c>
      <c r="C214" s="5">
        <v>45686</v>
      </c>
      <c r="D214" s="5">
        <v>45777</v>
      </c>
      <c r="E214" s="4" t="str">
        <f>"1x3 Tage, 3x2 Tage"</f>
        <v>1x3 Tage, 3x2 Tage</v>
      </c>
      <c r="F214" s="6">
        <v>2240</v>
      </c>
      <c r="G214" s="4"/>
      <c r="H214" s="4" t="s">
        <v>11</v>
      </c>
    </row>
    <row r="215" spans="1:8" x14ac:dyDescent="0.2">
      <c r="A215" s="4" t="str">
        <f>"01.135/001 a/2025"</f>
        <v>01.135/001 a/2025</v>
      </c>
      <c r="B215" s="4" t="str">
        <f t="shared" ref="B215:B228" si="7">"Führung -on -demand: Führen in Vertretung im ersten Einstiegsamt der Laufbahngruppe 2"</f>
        <v>Führung -on -demand: Führen in Vertretung im ersten Einstiegsamt der Laufbahngruppe 2</v>
      </c>
      <c r="C215" s="5">
        <v>45686</v>
      </c>
      <c r="D215" s="5">
        <v>45688</v>
      </c>
      <c r="E215" s="4"/>
      <c r="F215" s="6" t="s">
        <v>11</v>
      </c>
      <c r="G215" s="4" t="str">
        <f>"Führungsfortbildung"</f>
        <v>Führungsfortbildung</v>
      </c>
      <c r="H215" s="4" t="s">
        <v>11</v>
      </c>
    </row>
    <row r="216" spans="1:8" x14ac:dyDescent="0.2">
      <c r="A216" s="4" t="str">
        <f>"01.135/001 b/2025"</f>
        <v>01.135/001 b/2025</v>
      </c>
      <c r="B216" s="4" t="str">
        <f t="shared" si="7"/>
        <v>Führung -on -demand: Führen in Vertretung im ersten Einstiegsamt der Laufbahngruppe 2</v>
      </c>
      <c r="C216" s="5">
        <v>45728</v>
      </c>
      <c r="D216" s="5">
        <v>45729</v>
      </c>
      <c r="E216" s="4"/>
      <c r="F216" s="6" t="s">
        <v>11</v>
      </c>
      <c r="G216" s="4" t="str">
        <f>"Führungsfortbildung"</f>
        <v>Führungsfortbildung</v>
      </c>
      <c r="H216" s="4" t="s">
        <v>11</v>
      </c>
    </row>
    <row r="217" spans="1:8" x14ac:dyDescent="0.2">
      <c r="A217" s="4" t="str">
        <f>"01.135/001 c/2025"</f>
        <v>01.135/001 c/2025</v>
      </c>
      <c r="B217" s="4" t="str">
        <f t="shared" si="7"/>
        <v>Führung -on -demand: Führen in Vertretung im ersten Einstiegsamt der Laufbahngruppe 2</v>
      </c>
      <c r="C217" s="5">
        <v>45740</v>
      </c>
      <c r="D217" s="5">
        <v>45741</v>
      </c>
      <c r="E217" s="4"/>
      <c r="F217" s="6" t="s">
        <v>11</v>
      </c>
      <c r="G217" s="4" t="str">
        <f>"Führungsfortbildung"</f>
        <v>Führungsfortbildung</v>
      </c>
      <c r="H217" s="4" t="s">
        <v>11</v>
      </c>
    </row>
    <row r="218" spans="1:8" x14ac:dyDescent="0.2">
      <c r="A218" s="4" t="str">
        <f>"01.135/001 d/2025"</f>
        <v>01.135/001 d/2025</v>
      </c>
      <c r="B218" s="4" t="str">
        <f t="shared" si="7"/>
        <v>Führung -on -demand: Führen in Vertretung im ersten Einstiegsamt der Laufbahngruppe 2</v>
      </c>
      <c r="C218" s="5">
        <v>45776</v>
      </c>
      <c r="D218" s="5">
        <v>45777</v>
      </c>
      <c r="E218" s="4"/>
      <c r="F218" s="6" t="s">
        <v>11</v>
      </c>
      <c r="G218" s="4" t="str">
        <f>"Führungsfortbildung"</f>
        <v>Führungsfortbildung</v>
      </c>
      <c r="H218" s="4" t="s">
        <v>11</v>
      </c>
    </row>
    <row r="219" spans="1:8" x14ac:dyDescent="0.2">
      <c r="A219" s="4" t="str">
        <f>"01.135/002/2025"</f>
        <v>01.135/002/2025</v>
      </c>
      <c r="B219" s="4" t="str">
        <f t="shared" si="7"/>
        <v>Führung -on -demand: Führen in Vertretung im ersten Einstiegsamt der Laufbahngruppe 2</v>
      </c>
      <c r="C219" s="5">
        <v>45824</v>
      </c>
      <c r="D219" s="5">
        <v>46001</v>
      </c>
      <c r="E219" s="4" t="str">
        <f>"1x3 Tage, 3x2 Tage"</f>
        <v>1x3 Tage, 3x2 Tage</v>
      </c>
      <c r="F219" s="6">
        <v>2240</v>
      </c>
      <c r="G219" s="4"/>
      <c r="H219" s="4" t="s">
        <v>11</v>
      </c>
    </row>
    <row r="220" spans="1:8" x14ac:dyDescent="0.2">
      <c r="A220" s="4" t="str">
        <f>"01.135/002 a/2025"</f>
        <v>01.135/002 a/2025</v>
      </c>
      <c r="B220" s="4" t="str">
        <f t="shared" si="7"/>
        <v>Führung -on -demand: Führen in Vertretung im ersten Einstiegsamt der Laufbahngruppe 2</v>
      </c>
      <c r="C220" s="5">
        <v>45824</v>
      </c>
      <c r="D220" s="5">
        <v>45826</v>
      </c>
      <c r="E220" s="4"/>
      <c r="F220" s="6" t="s">
        <v>11</v>
      </c>
      <c r="G220" s="4" t="str">
        <f>"Führungsfortbildung"</f>
        <v>Führungsfortbildung</v>
      </c>
      <c r="H220" s="4" t="s">
        <v>11</v>
      </c>
    </row>
    <row r="221" spans="1:8" x14ac:dyDescent="0.2">
      <c r="A221" s="4" t="str">
        <f>"01.135/002 b/2025"</f>
        <v>01.135/002 b/2025</v>
      </c>
      <c r="B221" s="4" t="str">
        <f t="shared" si="7"/>
        <v>Führung -on -demand: Führen in Vertretung im ersten Einstiegsamt der Laufbahngruppe 2</v>
      </c>
      <c r="C221" s="5">
        <v>45868</v>
      </c>
      <c r="D221" s="5">
        <v>45869</v>
      </c>
      <c r="E221" s="4"/>
      <c r="F221" s="6" t="s">
        <v>11</v>
      </c>
      <c r="G221" s="4" t="str">
        <f>"Führungsfortbildung"</f>
        <v>Führungsfortbildung</v>
      </c>
      <c r="H221" s="4" t="s">
        <v>11</v>
      </c>
    </row>
    <row r="222" spans="1:8" x14ac:dyDescent="0.2">
      <c r="A222" s="4" t="str">
        <f>"01.135/002 c/2025"</f>
        <v>01.135/002 c/2025</v>
      </c>
      <c r="B222" s="4" t="str">
        <f t="shared" si="7"/>
        <v>Führung -on -demand: Führen in Vertretung im ersten Einstiegsamt der Laufbahngruppe 2</v>
      </c>
      <c r="C222" s="5">
        <v>45931</v>
      </c>
      <c r="D222" s="5">
        <v>45932</v>
      </c>
      <c r="E222" s="4"/>
      <c r="F222" s="6" t="s">
        <v>11</v>
      </c>
      <c r="G222" s="4" t="str">
        <f>"Führungsfortbildung"</f>
        <v>Führungsfortbildung</v>
      </c>
      <c r="H222" s="4" t="s">
        <v>11</v>
      </c>
    </row>
    <row r="223" spans="1:8" x14ac:dyDescent="0.2">
      <c r="A223" s="4" t="str">
        <f>"01.135/002 d/2025"</f>
        <v>01.135/002 d/2025</v>
      </c>
      <c r="B223" s="4" t="str">
        <f t="shared" si="7"/>
        <v>Führung -on -demand: Führen in Vertretung im ersten Einstiegsamt der Laufbahngruppe 2</v>
      </c>
      <c r="C223" s="5">
        <v>46000</v>
      </c>
      <c r="D223" s="5">
        <v>46001</v>
      </c>
      <c r="E223" s="4"/>
      <c r="F223" s="6" t="s">
        <v>11</v>
      </c>
      <c r="G223" s="4" t="str">
        <f>"Führungsfortbildung"</f>
        <v>Führungsfortbildung</v>
      </c>
      <c r="H223" s="4" t="s">
        <v>11</v>
      </c>
    </row>
    <row r="224" spans="1:8" x14ac:dyDescent="0.2">
      <c r="A224" s="4" t="str">
        <f>"01.135/003/2025"</f>
        <v>01.135/003/2025</v>
      </c>
      <c r="B224" s="4" t="str">
        <f t="shared" si="7"/>
        <v>Führung -on -demand: Führen in Vertretung im ersten Einstiegsamt der Laufbahngruppe 2</v>
      </c>
      <c r="C224" s="5">
        <v>45903</v>
      </c>
      <c r="D224" s="5">
        <v>45986</v>
      </c>
      <c r="E224" s="4" t="str">
        <f>"1x3 Tage, 3x2 Tage"</f>
        <v>1x3 Tage, 3x2 Tage</v>
      </c>
      <c r="F224" s="6">
        <v>2240</v>
      </c>
      <c r="G224" s="4"/>
      <c r="H224" s="4" t="s">
        <v>11</v>
      </c>
    </row>
    <row r="225" spans="1:8" x14ac:dyDescent="0.2">
      <c r="A225" s="4" t="str">
        <f>"01.135/003 a/2025"</f>
        <v>01.135/003 a/2025</v>
      </c>
      <c r="B225" s="4" t="str">
        <f t="shared" si="7"/>
        <v>Führung -on -demand: Führen in Vertretung im ersten Einstiegsamt der Laufbahngruppe 2</v>
      </c>
      <c r="C225" s="5">
        <v>45903</v>
      </c>
      <c r="D225" s="5">
        <v>45905</v>
      </c>
      <c r="E225" s="4"/>
      <c r="F225" s="6" t="s">
        <v>11</v>
      </c>
      <c r="G225" s="4" t="str">
        <f t="shared" ref="G225:G231" si="8">"Führungsfortbildung"</f>
        <v>Führungsfortbildung</v>
      </c>
      <c r="H225" s="4" t="s">
        <v>11</v>
      </c>
    </row>
    <row r="226" spans="1:8" x14ac:dyDescent="0.2">
      <c r="A226" s="4" t="str">
        <f>"01.135/003 b/2025"</f>
        <v>01.135/003 b/2025</v>
      </c>
      <c r="B226" s="4" t="str">
        <f t="shared" si="7"/>
        <v>Führung -on -demand: Führen in Vertretung im ersten Einstiegsamt der Laufbahngruppe 2</v>
      </c>
      <c r="C226" s="5">
        <v>45929</v>
      </c>
      <c r="D226" s="5">
        <v>45930</v>
      </c>
      <c r="E226" s="4"/>
      <c r="F226" s="6" t="s">
        <v>11</v>
      </c>
      <c r="G226" s="4" t="str">
        <f t="shared" si="8"/>
        <v>Führungsfortbildung</v>
      </c>
      <c r="H226" s="4" t="s">
        <v>11</v>
      </c>
    </row>
    <row r="227" spans="1:8" x14ac:dyDescent="0.2">
      <c r="A227" s="4" t="str">
        <f>"01.135/003 c/2025"</f>
        <v>01.135/003 c/2025</v>
      </c>
      <c r="B227" s="4" t="str">
        <f t="shared" si="7"/>
        <v>Führung -on -demand: Führen in Vertretung im ersten Einstiegsamt der Laufbahngruppe 2</v>
      </c>
      <c r="C227" s="5">
        <v>45957</v>
      </c>
      <c r="D227" s="5">
        <v>45958</v>
      </c>
      <c r="E227" s="4"/>
      <c r="F227" s="6" t="s">
        <v>11</v>
      </c>
      <c r="G227" s="4" t="str">
        <f t="shared" si="8"/>
        <v>Führungsfortbildung</v>
      </c>
      <c r="H227" s="4" t="s">
        <v>11</v>
      </c>
    </row>
    <row r="228" spans="1:8" x14ac:dyDescent="0.2">
      <c r="A228" s="4" t="str">
        <f>"01.135/003 d/2025"</f>
        <v>01.135/003 d/2025</v>
      </c>
      <c r="B228" s="4" t="str">
        <f t="shared" si="7"/>
        <v>Führung -on -demand: Führen in Vertretung im ersten Einstiegsamt der Laufbahngruppe 2</v>
      </c>
      <c r="C228" s="5">
        <v>45985</v>
      </c>
      <c r="D228" s="5">
        <v>45986</v>
      </c>
      <c r="E228" s="4"/>
      <c r="F228" s="6" t="s">
        <v>11</v>
      </c>
      <c r="G228" s="4" t="str">
        <f t="shared" si="8"/>
        <v>Führungsfortbildung</v>
      </c>
      <c r="H228" s="4" t="s">
        <v>11</v>
      </c>
    </row>
    <row r="229" spans="1:8" x14ac:dyDescent="0.2">
      <c r="A229" s="4" t="str">
        <f>"01.210/001/2025"</f>
        <v>01.210/001/2025</v>
      </c>
      <c r="B229" s="4" t="str">
        <f>"Das Maß ist voll - Arbeitsrecht und Psychologie im Führungsalltag"</f>
        <v>Das Maß ist voll - Arbeitsrecht und Psychologie im Führungsalltag</v>
      </c>
      <c r="C229" s="5">
        <v>45698</v>
      </c>
      <c r="D229" s="5">
        <v>45700</v>
      </c>
      <c r="E229" s="4" t="str">
        <f>"3 Tage"</f>
        <v>3 Tage</v>
      </c>
      <c r="F229" s="6">
        <v>1160</v>
      </c>
      <c r="G229" s="4" t="str">
        <f t="shared" si="8"/>
        <v>Führungsfortbildung</v>
      </c>
      <c r="H229" s="4" t="s">
        <v>11</v>
      </c>
    </row>
    <row r="230" spans="1:8" x14ac:dyDescent="0.2">
      <c r="A230" s="4" t="str">
        <f>"01.210/002/2025"</f>
        <v>01.210/002/2025</v>
      </c>
      <c r="B230" s="4" t="str">
        <f>"Das Maß ist voll - Arbeitsrecht und Psychologie im Führungsalltag"</f>
        <v>Das Maß ist voll - Arbeitsrecht und Psychologie im Führungsalltag</v>
      </c>
      <c r="C230" s="5">
        <v>45819</v>
      </c>
      <c r="D230" s="5">
        <v>45821</v>
      </c>
      <c r="E230" s="4" t="str">
        <f>"3 Tage"</f>
        <v>3 Tage</v>
      </c>
      <c r="F230" s="6">
        <v>1160</v>
      </c>
      <c r="G230" s="4" t="str">
        <f t="shared" si="8"/>
        <v>Führungsfortbildung</v>
      </c>
      <c r="H230" s="4" t="s">
        <v>11</v>
      </c>
    </row>
    <row r="231" spans="1:8" x14ac:dyDescent="0.2">
      <c r="A231" s="4" t="str">
        <f>"01.210/003/2025"</f>
        <v>01.210/003/2025</v>
      </c>
      <c r="B231" s="4" t="str">
        <f>"Das Maß ist voll - Arbeitsrecht und Psychologie im Führungsalltag"</f>
        <v>Das Maß ist voll - Arbeitsrecht und Psychologie im Führungsalltag</v>
      </c>
      <c r="C231" s="5">
        <v>45910</v>
      </c>
      <c r="D231" s="5">
        <v>45912</v>
      </c>
      <c r="E231" s="4" t="str">
        <f>"3 Tage"</f>
        <v>3 Tage</v>
      </c>
      <c r="F231" s="6">
        <v>1160</v>
      </c>
      <c r="G231" s="4" t="str">
        <f t="shared" si="8"/>
        <v>Führungsfortbildung</v>
      </c>
      <c r="H231" s="4" t="s">
        <v>11</v>
      </c>
    </row>
    <row r="232" spans="1:8" x14ac:dyDescent="0.2">
      <c r="A232" s="4" t="str">
        <f>"01.235/001/2025"</f>
        <v>01.235/001/2025</v>
      </c>
      <c r="B232" s="4" t="str">
        <f>"Refreshment Führung: Neue Impulse für Führungskräfte mit langjähriger Erfahrung"</f>
        <v>Refreshment Führung: Neue Impulse für Führungskräfte mit langjähriger Erfahrung</v>
      </c>
      <c r="C232" s="5">
        <v>45981</v>
      </c>
      <c r="D232" s="5">
        <v>46001</v>
      </c>
      <c r="E232" s="4" t="str">
        <f>"2x2 Tage"</f>
        <v>2x2 Tage</v>
      </c>
      <c r="F232" s="6">
        <v>990</v>
      </c>
      <c r="G232" s="4"/>
      <c r="H232" s="4" t="s">
        <v>11</v>
      </c>
    </row>
    <row r="233" spans="1:8" x14ac:dyDescent="0.2">
      <c r="A233" s="4" t="str">
        <f>"01.235/001 a/2025"</f>
        <v>01.235/001 a/2025</v>
      </c>
      <c r="B233" s="4" t="str">
        <f>"Refreshment Führung: Neue Impulse für Führungskräfte mit langjähriger Erfahrung "</f>
        <v xml:space="preserve">Refreshment Führung: Neue Impulse für Führungskräfte mit langjähriger Erfahrung </v>
      </c>
      <c r="C233" s="5">
        <v>45981</v>
      </c>
      <c r="D233" s="5">
        <v>45982</v>
      </c>
      <c r="E233" s="4"/>
      <c r="F233" s="6" t="s">
        <v>11</v>
      </c>
      <c r="G233" s="4" t="str">
        <f t="shared" ref="G233:G239" si="9">"Führungsfortbildung"</f>
        <v>Führungsfortbildung</v>
      </c>
      <c r="H233" s="4" t="s">
        <v>11</v>
      </c>
    </row>
    <row r="234" spans="1:8" x14ac:dyDescent="0.2">
      <c r="A234" s="4" t="str">
        <f>"01.235/001 b/2025"</f>
        <v>01.235/001 b/2025</v>
      </c>
      <c r="B234" s="4" t="str">
        <f>"Refreshment Führung: Neue Impulse für Führungskräfte mit langjähriger Erfahrung "</f>
        <v xml:space="preserve">Refreshment Führung: Neue Impulse für Führungskräfte mit langjähriger Erfahrung </v>
      </c>
      <c r="C234" s="5">
        <v>46000</v>
      </c>
      <c r="D234" s="5">
        <v>46001</v>
      </c>
      <c r="E234" s="4"/>
      <c r="F234" s="6" t="s">
        <v>11</v>
      </c>
      <c r="G234" s="4" t="str">
        <f t="shared" si="9"/>
        <v>Führungsfortbildung</v>
      </c>
      <c r="H234" s="4" t="s">
        <v>11</v>
      </c>
    </row>
    <row r="235" spans="1:8" x14ac:dyDescent="0.2">
      <c r="A235" s="4" t="str">
        <f>"01.240/001/2025"</f>
        <v>01.240/001/2025</v>
      </c>
      <c r="B235" s="4" t="str">
        <f>"Netzwerkarbeit als Schlüsselkompetenz in einer digitalen Arbeitswelt"</f>
        <v>Netzwerkarbeit als Schlüsselkompetenz in einer digitalen Arbeitswelt</v>
      </c>
      <c r="C235" s="5">
        <v>45966</v>
      </c>
      <c r="D235" s="5">
        <v>45967</v>
      </c>
      <c r="E235" s="4" t="str">
        <f>"2 Tage"</f>
        <v>2 Tage</v>
      </c>
      <c r="F235" s="6">
        <v>490</v>
      </c>
      <c r="G235" s="4" t="str">
        <f t="shared" si="9"/>
        <v>Führungsfortbildung</v>
      </c>
      <c r="H235" s="4" t="s">
        <v>11</v>
      </c>
    </row>
    <row r="236" spans="1:8" x14ac:dyDescent="0.2">
      <c r="A236" s="4" t="str">
        <f>"01.250/001/2025"</f>
        <v>01.250/001/2025</v>
      </c>
      <c r="B236" s="4" t="str">
        <f>"Mit klaren Entscheidungen Profil gewinnen"</f>
        <v>Mit klaren Entscheidungen Profil gewinnen</v>
      </c>
      <c r="C236" s="5">
        <v>45691</v>
      </c>
      <c r="D236" s="5">
        <v>45693</v>
      </c>
      <c r="E236" s="4" t="str">
        <f>"3 Tage"</f>
        <v>3 Tage</v>
      </c>
      <c r="F236" s="6">
        <v>760</v>
      </c>
      <c r="G236" s="4" t="str">
        <f t="shared" si="9"/>
        <v>Führungsfortbildung</v>
      </c>
      <c r="H236" s="4" t="s">
        <v>11</v>
      </c>
    </row>
    <row r="237" spans="1:8" x14ac:dyDescent="0.2">
      <c r="A237" s="4" t="str">
        <f>"01.255/001/2025"</f>
        <v>01.255/001/2025</v>
      </c>
      <c r="B237" s="4" t="str">
        <f>"Dilemmata und emotionale Zwickmühlen im Führungsalltag"</f>
        <v>Dilemmata und emotionale Zwickmühlen im Führungsalltag</v>
      </c>
      <c r="C237" s="5">
        <v>45825</v>
      </c>
      <c r="D237" s="5">
        <v>45826</v>
      </c>
      <c r="E237" s="4" t="str">
        <f>"2 Tage"</f>
        <v>2 Tage</v>
      </c>
      <c r="F237" s="6">
        <v>490</v>
      </c>
      <c r="G237" s="4" t="str">
        <f t="shared" si="9"/>
        <v>Führungsfortbildung</v>
      </c>
      <c r="H237" s="4" t="s">
        <v>11</v>
      </c>
    </row>
    <row r="238" spans="1:8" x14ac:dyDescent="0.2">
      <c r="A238" s="4" t="str">
        <f>"01.260/001/2025"</f>
        <v>01.260/001/2025</v>
      </c>
      <c r="B238" s="4" t="str">
        <f>"Workshop: Frauen in Führung"</f>
        <v>Workshop: Frauen in Führung</v>
      </c>
      <c r="C238" s="5">
        <v>45684</v>
      </c>
      <c r="D238" s="5">
        <v>45685</v>
      </c>
      <c r="E238" s="4" t="str">
        <f>"2 Tage"</f>
        <v>2 Tage</v>
      </c>
      <c r="F238" s="6">
        <v>490</v>
      </c>
      <c r="G238" s="4" t="str">
        <f t="shared" si="9"/>
        <v>Führungsfortbildung</v>
      </c>
      <c r="H238" s="4" t="s">
        <v>11</v>
      </c>
    </row>
    <row r="239" spans="1:8" x14ac:dyDescent="0.2">
      <c r="A239" s="4" t="str">
        <f>"01.260/002/2025"</f>
        <v>01.260/002/2025</v>
      </c>
      <c r="B239" s="4" t="str">
        <f>"Workshop: Frauen in Führung"</f>
        <v>Workshop: Frauen in Führung</v>
      </c>
      <c r="C239" s="5">
        <v>45995</v>
      </c>
      <c r="D239" s="5">
        <v>45996</v>
      </c>
      <c r="E239" s="4" t="str">
        <f>"2 Tage"</f>
        <v>2 Tage</v>
      </c>
      <c r="F239" s="6">
        <v>490</v>
      </c>
      <c r="G239" s="4" t="str">
        <f t="shared" si="9"/>
        <v>Führungsfortbildung</v>
      </c>
      <c r="H239" s="4" t="s">
        <v>11</v>
      </c>
    </row>
    <row r="240" spans="1:8" x14ac:dyDescent="0.2">
      <c r="A240" s="4" t="str">
        <f>"01.270/001/2025"</f>
        <v>01.270/001/2025</v>
      </c>
      <c r="B240" s="4" t="str">
        <f>"Führungswerkstatt"</f>
        <v>Führungswerkstatt</v>
      </c>
      <c r="C240" s="5">
        <v>45701</v>
      </c>
      <c r="D240" s="5">
        <v>46283</v>
      </c>
      <c r="E240" s="4" t="str">
        <f>"1x2 Tage, 7x1 Tag"</f>
        <v>1x2 Tage, 7x1 Tag</v>
      </c>
      <c r="F240" s="6">
        <v>2790</v>
      </c>
      <c r="G240" s="4"/>
      <c r="H240" s="4" t="s">
        <v>11</v>
      </c>
    </row>
    <row r="241" spans="1:8" x14ac:dyDescent="0.2">
      <c r="A241" s="4" t="str">
        <f>"01.270/001 a/2025"</f>
        <v>01.270/001 a/2025</v>
      </c>
      <c r="B241" s="4" t="str">
        <f>"Führungswerkstatt"</f>
        <v>Führungswerkstatt</v>
      </c>
      <c r="C241" s="5">
        <v>45701</v>
      </c>
      <c r="D241" s="5">
        <v>45702</v>
      </c>
      <c r="E241" s="4"/>
      <c r="F241" s="6" t="s">
        <v>11</v>
      </c>
      <c r="G241" s="4" t="str">
        <f t="shared" ref="G241:G248" si="10">"Führungsfortbildung"</f>
        <v>Führungsfortbildung</v>
      </c>
      <c r="H241" s="4" t="s">
        <v>11</v>
      </c>
    </row>
    <row r="242" spans="1:8" x14ac:dyDescent="0.2">
      <c r="A242" s="4" t="str">
        <f>"01.270/001 b/2025"</f>
        <v>01.270/001 b/2025</v>
      </c>
      <c r="B242" s="4" t="str">
        <f>"Führungswerkstatt"</f>
        <v>Führungswerkstatt</v>
      </c>
      <c r="C242" s="5">
        <v>45748</v>
      </c>
      <c r="D242" s="5">
        <v>45748</v>
      </c>
      <c r="E242" s="4"/>
      <c r="F242" s="6" t="s">
        <v>11</v>
      </c>
      <c r="G242" s="4" t="str">
        <f t="shared" si="10"/>
        <v>Führungsfortbildung</v>
      </c>
      <c r="H242" s="4" t="s">
        <v>11</v>
      </c>
    </row>
    <row r="243" spans="1:8" x14ac:dyDescent="0.2">
      <c r="A243" s="4" t="str">
        <f>"01.270/001 c/2025"</f>
        <v>01.270/001 c/2025</v>
      </c>
      <c r="B243" s="4" t="str">
        <f t="shared" ref="B243:B248" si="11">"Führungswerkstatt "</f>
        <v xml:space="preserve">Führungswerkstatt </v>
      </c>
      <c r="C243" s="5">
        <v>45863</v>
      </c>
      <c r="D243" s="5">
        <v>45863</v>
      </c>
      <c r="E243" s="4"/>
      <c r="F243" s="6" t="s">
        <v>11</v>
      </c>
      <c r="G243" s="4" t="str">
        <f t="shared" si="10"/>
        <v>Führungsfortbildung</v>
      </c>
      <c r="H243" s="4" t="s">
        <v>11</v>
      </c>
    </row>
    <row r="244" spans="1:8" x14ac:dyDescent="0.2">
      <c r="A244" s="4" t="str">
        <f>"01.270/001 d/2025"</f>
        <v>01.270/001 d/2025</v>
      </c>
      <c r="B244" s="4" t="str">
        <f t="shared" si="11"/>
        <v xml:space="preserve">Führungswerkstatt </v>
      </c>
      <c r="C244" s="5">
        <v>45946</v>
      </c>
      <c r="D244" s="5">
        <v>45946</v>
      </c>
      <c r="E244" s="4"/>
      <c r="F244" s="6" t="s">
        <v>11</v>
      </c>
      <c r="G244" s="4" t="str">
        <f t="shared" si="10"/>
        <v>Führungsfortbildung</v>
      </c>
      <c r="H244" s="4" t="s">
        <v>11</v>
      </c>
    </row>
    <row r="245" spans="1:8" x14ac:dyDescent="0.2">
      <c r="A245" s="4" t="str">
        <f>"01.270/001 e/2025"</f>
        <v>01.270/001 e/2025</v>
      </c>
      <c r="B245" s="4" t="str">
        <f t="shared" si="11"/>
        <v xml:space="preserve">Führungswerkstatt </v>
      </c>
      <c r="C245" s="5">
        <v>46056</v>
      </c>
      <c r="D245" s="5">
        <v>46056</v>
      </c>
      <c r="E245" s="4"/>
      <c r="F245" s="6" t="s">
        <v>11</v>
      </c>
      <c r="G245" s="4" t="str">
        <f t="shared" si="10"/>
        <v>Führungsfortbildung</v>
      </c>
      <c r="H245" s="4" t="s">
        <v>11</v>
      </c>
    </row>
    <row r="246" spans="1:8" x14ac:dyDescent="0.2">
      <c r="A246" s="4" t="str">
        <f>"01.270/001 f/2025"</f>
        <v>01.270/001 f/2025</v>
      </c>
      <c r="B246" s="4" t="str">
        <f t="shared" si="11"/>
        <v xml:space="preserve">Führungswerkstatt </v>
      </c>
      <c r="C246" s="5">
        <v>46133</v>
      </c>
      <c r="D246" s="5">
        <v>46133</v>
      </c>
      <c r="E246" s="4"/>
      <c r="F246" s="6" t="s">
        <v>11</v>
      </c>
      <c r="G246" s="4" t="str">
        <f t="shared" si="10"/>
        <v>Führungsfortbildung</v>
      </c>
      <c r="H246" s="4" t="s">
        <v>11</v>
      </c>
    </row>
    <row r="247" spans="1:8" x14ac:dyDescent="0.2">
      <c r="A247" s="4" t="str">
        <f>"01.270/001 g/2025"</f>
        <v>01.270/001 g/2025</v>
      </c>
      <c r="B247" s="4" t="str">
        <f t="shared" si="11"/>
        <v xml:space="preserve">Führungswerkstatt </v>
      </c>
      <c r="C247" s="5">
        <v>46206</v>
      </c>
      <c r="D247" s="5">
        <v>46206</v>
      </c>
      <c r="E247" s="4"/>
      <c r="F247" s="6" t="s">
        <v>11</v>
      </c>
      <c r="G247" s="4" t="str">
        <f t="shared" si="10"/>
        <v>Führungsfortbildung</v>
      </c>
      <c r="H247" s="4" t="s">
        <v>11</v>
      </c>
    </row>
    <row r="248" spans="1:8" x14ac:dyDescent="0.2">
      <c r="A248" s="4" t="str">
        <f>"01.270/001 h/2025"</f>
        <v>01.270/001 h/2025</v>
      </c>
      <c r="B248" s="4" t="str">
        <f t="shared" si="11"/>
        <v xml:space="preserve">Führungswerkstatt </v>
      </c>
      <c r="C248" s="5">
        <v>46283</v>
      </c>
      <c r="D248" s="5">
        <v>46283</v>
      </c>
      <c r="E248" s="4"/>
      <c r="F248" s="6" t="s">
        <v>11</v>
      </c>
      <c r="G248" s="4" t="str">
        <f t="shared" si="10"/>
        <v>Führungsfortbildung</v>
      </c>
      <c r="H248" s="4" t="s">
        <v>11</v>
      </c>
    </row>
    <row r="249" spans="1:8" x14ac:dyDescent="0.2">
      <c r="A249" s="4" t="str">
        <f>"01.270/002/2025"</f>
        <v>01.270/002/2025</v>
      </c>
      <c r="B249" s="4" t="str">
        <f>"Führungswerkstatt"</f>
        <v>Führungswerkstatt</v>
      </c>
      <c r="C249" s="5">
        <v>45831</v>
      </c>
      <c r="D249" s="5">
        <v>46430</v>
      </c>
      <c r="E249" s="4" t="str">
        <f>"1x2 Tage, 7x1 Tag"</f>
        <v>1x2 Tage, 7x1 Tag</v>
      </c>
      <c r="F249" s="6">
        <v>2790</v>
      </c>
      <c r="G249" s="4"/>
      <c r="H249" s="4" t="s">
        <v>11</v>
      </c>
    </row>
    <row r="250" spans="1:8" x14ac:dyDescent="0.2">
      <c r="A250" s="4" t="str">
        <f>"01.270/002 a/2025"</f>
        <v>01.270/002 a/2025</v>
      </c>
      <c r="B250" s="4" t="str">
        <f>"Führungswerkstatt"</f>
        <v>Führungswerkstatt</v>
      </c>
      <c r="C250" s="5">
        <v>45831</v>
      </c>
      <c r="D250" s="5">
        <v>45832</v>
      </c>
      <c r="E250" s="4"/>
      <c r="F250" s="6" t="s">
        <v>11</v>
      </c>
      <c r="G250" s="4" t="str">
        <f t="shared" ref="G250:G257" si="12">"Führungsfortbildung"</f>
        <v>Führungsfortbildung</v>
      </c>
      <c r="H250" s="4" t="s">
        <v>11</v>
      </c>
    </row>
    <row r="251" spans="1:8" x14ac:dyDescent="0.2">
      <c r="A251" s="4" t="str">
        <f>"01.270/002 b/2025"</f>
        <v>01.270/002 b/2025</v>
      </c>
      <c r="B251" s="4" t="str">
        <f>"Führungswerkstatt"</f>
        <v>Führungswerkstatt</v>
      </c>
      <c r="C251" s="5">
        <v>45940</v>
      </c>
      <c r="D251" s="5">
        <v>45940</v>
      </c>
      <c r="E251" s="4"/>
      <c r="F251" s="6" t="s">
        <v>11</v>
      </c>
      <c r="G251" s="4" t="str">
        <f t="shared" si="12"/>
        <v>Führungsfortbildung</v>
      </c>
      <c r="H251" s="4" t="s">
        <v>11</v>
      </c>
    </row>
    <row r="252" spans="1:8" x14ac:dyDescent="0.2">
      <c r="A252" s="4" t="str">
        <f>"01.270/002 c/2025"</f>
        <v>01.270/002 c/2025</v>
      </c>
      <c r="B252" s="4" t="str">
        <f t="shared" ref="B252:B257" si="13">"Führungswerkstatt "</f>
        <v xml:space="preserve">Führungswerkstatt </v>
      </c>
      <c r="C252" s="5">
        <v>46027</v>
      </c>
      <c r="D252" s="5">
        <v>46027</v>
      </c>
      <c r="E252" s="4"/>
      <c r="F252" s="6" t="s">
        <v>11</v>
      </c>
      <c r="G252" s="4" t="str">
        <f t="shared" si="12"/>
        <v>Führungsfortbildung</v>
      </c>
      <c r="H252" s="4" t="s">
        <v>11</v>
      </c>
    </row>
    <row r="253" spans="1:8" x14ac:dyDescent="0.2">
      <c r="A253" s="4" t="str">
        <f>"01.270/002 d/2025"</f>
        <v>01.270/002 d/2025</v>
      </c>
      <c r="B253" s="4" t="str">
        <f t="shared" si="13"/>
        <v xml:space="preserve">Führungswerkstatt </v>
      </c>
      <c r="C253" s="5">
        <v>46106</v>
      </c>
      <c r="D253" s="5">
        <v>46106</v>
      </c>
      <c r="E253" s="4"/>
      <c r="F253" s="6" t="s">
        <v>11</v>
      </c>
      <c r="G253" s="4" t="str">
        <f t="shared" si="12"/>
        <v>Führungsfortbildung</v>
      </c>
      <c r="H253" s="4" t="s">
        <v>11</v>
      </c>
    </row>
    <row r="254" spans="1:8" x14ac:dyDescent="0.2">
      <c r="A254" s="4" t="str">
        <f>"01.270/002 e/2025"</f>
        <v>01.270/002 e/2025</v>
      </c>
      <c r="B254" s="4" t="str">
        <f t="shared" si="13"/>
        <v xml:space="preserve">Führungswerkstatt </v>
      </c>
      <c r="C254" s="5">
        <v>46185</v>
      </c>
      <c r="D254" s="5">
        <v>46185</v>
      </c>
      <c r="E254" s="4"/>
      <c r="F254" s="6" t="s">
        <v>11</v>
      </c>
      <c r="G254" s="4" t="str">
        <f t="shared" si="12"/>
        <v>Führungsfortbildung</v>
      </c>
      <c r="H254" s="4" t="s">
        <v>11</v>
      </c>
    </row>
    <row r="255" spans="1:8" x14ac:dyDescent="0.2">
      <c r="A255" s="4" t="str">
        <f>"01.270/002 f/2025"</f>
        <v>01.270/002 f/2025</v>
      </c>
      <c r="B255" s="4" t="str">
        <f t="shared" si="13"/>
        <v xml:space="preserve">Führungswerkstatt </v>
      </c>
      <c r="C255" s="5">
        <v>46272</v>
      </c>
      <c r="D255" s="5">
        <v>46272</v>
      </c>
      <c r="E255" s="4"/>
      <c r="F255" s="6" t="s">
        <v>11</v>
      </c>
      <c r="G255" s="4" t="str">
        <f t="shared" si="12"/>
        <v>Führungsfortbildung</v>
      </c>
      <c r="H255" s="4" t="s">
        <v>11</v>
      </c>
    </row>
    <row r="256" spans="1:8" x14ac:dyDescent="0.2">
      <c r="A256" s="4" t="str">
        <f>"01.270/002 g/2025"</f>
        <v>01.270/002 g/2025</v>
      </c>
      <c r="B256" s="4" t="str">
        <f t="shared" si="13"/>
        <v xml:space="preserve">Führungswerkstatt </v>
      </c>
      <c r="C256" s="5">
        <v>46353</v>
      </c>
      <c r="D256" s="5">
        <v>46353</v>
      </c>
      <c r="E256" s="4"/>
      <c r="F256" s="6" t="s">
        <v>11</v>
      </c>
      <c r="G256" s="4" t="str">
        <f t="shared" si="12"/>
        <v>Führungsfortbildung</v>
      </c>
      <c r="H256" s="4" t="s">
        <v>11</v>
      </c>
    </row>
    <row r="257" spans="1:8" x14ac:dyDescent="0.2">
      <c r="A257" s="4" t="str">
        <f>"01.270/002 h/2025"</f>
        <v>01.270/002 h/2025</v>
      </c>
      <c r="B257" s="4" t="str">
        <f t="shared" si="13"/>
        <v xml:space="preserve">Führungswerkstatt </v>
      </c>
      <c r="C257" s="5">
        <v>46430</v>
      </c>
      <c r="D257" s="5">
        <v>46430</v>
      </c>
      <c r="E257" s="4"/>
      <c r="F257" s="6" t="s">
        <v>11</v>
      </c>
      <c r="G257" s="4" t="str">
        <f t="shared" si="12"/>
        <v>Führungsfortbildung</v>
      </c>
      <c r="H257" s="4" t="s">
        <v>11</v>
      </c>
    </row>
    <row r="258" spans="1:8" x14ac:dyDescent="0.2">
      <c r="A258" s="4" t="str">
        <f>"01.270/003/2025"</f>
        <v>01.270/003/2025</v>
      </c>
      <c r="B258" s="4" t="str">
        <f>"Führungswerkstatt"</f>
        <v>Führungswerkstatt</v>
      </c>
      <c r="C258" s="5">
        <v>45918</v>
      </c>
      <c r="D258" s="5">
        <v>46507</v>
      </c>
      <c r="E258" s="4" t="str">
        <f>"1x2 Tage, 7x1 Tag"</f>
        <v>1x2 Tage, 7x1 Tag</v>
      </c>
      <c r="F258" s="6">
        <v>2790</v>
      </c>
      <c r="G258" s="4"/>
      <c r="H258" s="4" t="s">
        <v>11</v>
      </c>
    </row>
    <row r="259" spans="1:8" x14ac:dyDescent="0.2">
      <c r="A259" s="4" t="str">
        <f>"01.270/003 a/2025"</f>
        <v>01.270/003 a/2025</v>
      </c>
      <c r="B259" s="4" t="str">
        <f>"Führungswerkstatt"</f>
        <v>Führungswerkstatt</v>
      </c>
      <c r="C259" s="5">
        <v>45918</v>
      </c>
      <c r="D259" s="5">
        <v>45919</v>
      </c>
      <c r="E259" s="4"/>
      <c r="F259" s="6" t="s">
        <v>11</v>
      </c>
      <c r="G259" s="4" t="str">
        <f t="shared" ref="G259:G266" si="14">"Führungsfortbildung"</f>
        <v>Führungsfortbildung</v>
      </c>
      <c r="H259" s="4" t="s">
        <v>11</v>
      </c>
    </row>
    <row r="260" spans="1:8" x14ac:dyDescent="0.2">
      <c r="A260" s="4" t="str">
        <f>"01.270/003 b/2025"</f>
        <v>01.270/003 b/2025</v>
      </c>
      <c r="B260" s="4" t="str">
        <f>"Führungswerkstatt"</f>
        <v>Führungswerkstatt</v>
      </c>
      <c r="C260" s="5">
        <v>46003</v>
      </c>
      <c r="D260" s="5">
        <v>46003</v>
      </c>
      <c r="E260" s="4"/>
      <c r="F260" s="6" t="s">
        <v>11</v>
      </c>
      <c r="G260" s="4" t="str">
        <f t="shared" si="14"/>
        <v>Führungsfortbildung</v>
      </c>
      <c r="H260" s="4" t="s">
        <v>11</v>
      </c>
    </row>
    <row r="261" spans="1:8" x14ac:dyDescent="0.2">
      <c r="A261" s="4" t="str">
        <f>"01.270/003 c/2025"</f>
        <v>01.270/003 c/2025</v>
      </c>
      <c r="B261" s="4" t="str">
        <f t="shared" ref="B261:B266" si="15">"Führungswerkstatt "</f>
        <v xml:space="preserve">Führungswerkstatt </v>
      </c>
      <c r="C261" s="5">
        <v>46059</v>
      </c>
      <c r="D261" s="5">
        <v>46059</v>
      </c>
      <c r="E261" s="4"/>
      <c r="F261" s="6" t="s">
        <v>11</v>
      </c>
      <c r="G261" s="4" t="str">
        <f t="shared" si="14"/>
        <v>Führungsfortbildung</v>
      </c>
      <c r="H261" s="4" t="s">
        <v>11</v>
      </c>
    </row>
    <row r="262" spans="1:8" x14ac:dyDescent="0.2">
      <c r="A262" s="4" t="str">
        <f>"01.270/003 d/2025"</f>
        <v>01.270/003 d/2025</v>
      </c>
      <c r="B262" s="4" t="str">
        <f t="shared" si="15"/>
        <v xml:space="preserve">Führungswerkstatt </v>
      </c>
      <c r="C262" s="5">
        <v>46150</v>
      </c>
      <c r="D262" s="5">
        <v>46150</v>
      </c>
      <c r="E262" s="4"/>
      <c r="F262" s="6" t="s">
        <v>11</v>
      </c>
      <c r="G262" s="4" t="str">
        <f t="shared" si="14"/>
        <v>Führungsfortbildung</v>
      </c>
      <c r="H262" s="4" t="s">
        <v>11</v>
      </c>
    </row>
    <row r="263" spans="1:8" x14ac:dyDescent="0.2">
      <c r="A263" s="4" t="str">
        <f>"01.270/003 e/2025"</f>
        <v>01.270/003 e/2025</v>
      </c>
      <c r="B263" s="4" t="str">
        <f t="shared" si="15"/>
        <v xml:space="preserve">Führungswerkstatt </v>
      </c>
      <c r="C263" s="5">
        <v>46269</v>
      </c>
      <c r="D263" s="5">
        <v>46269</v>
      </c>
      <c r="E263" s="4"/>
      <c r="F263" s="6" t="s">
        <v>11</v>
      </c>
      <c r="G263" s="4" t="str">
        <f t="shared" si="14"/>
        <v>Führungsfortbildung</v>
      </c>
      <c r="H263" s="4" t="s">
        <v>11</v>
      </c>
    </row>
    <row r="264" spans="1:8" x14ac:dyDescent="0.2">
      <c r="A264" s="4" t="str">
        <f>"01.270/003 f/2025"</f>
        <v>01.270/003 f/2025</v>
      </c>
      <c r="B264" s="4" t="str">
        <f t="shared" si="15"/>
        <v xml:space="preserve">Führungswerkstatt </v>
      </c>
      <c r="C264" s="5">
        <v>46371</v>
      </c>
      <c r="D264" s="5">
        <v>46371</v>
      </c>
      <c r="E264" s="4"/>
      <c r="F264" s="6" t="s">
        <v>11</v>
      </c>
      <c r="G264" s="4" t="str">
        <f t="shared" si="14"/>
        <v>Führungsfortbildung</v>
      </c>
      <c r="H264" s="4" t="s">
        <v>11</v>
      </c>
    </row>
    <row r="265" spans="1:8" x14ac:dyDescent="0.2">
      <c r="A265" s="4" t="str">
        <f>"01.270/003 g/2025"</f>
        <v>01.270/003 g/2025</v>
      </c>
      <c r="B265" s="4" t="str">
        <f t="shared" si="15"/>
        <v xml:space="preserve">Führungswerkstatt </v>
      </c>
      <c r="C265" s="5">
        <v>46444</v>
      </c>
      <c r="D265" s="5">
        <v>46444</v>
      </c>
      <c r="E265" s="4"/>
      <c r="F265" s="6" t="s">
        <v>11</v>
      </c>
      <c r="G265" s="4" t="str">
        <f t="shared" si="14"/>
        <v>Führungsfortbildung</v>
      </c>
      <c r="H265" s="4" t="s">
        <v>11</v>
      </c>
    </row>
    <row r="266" spans="1:8" x14ac:dyDescent="0.2">
      <c r="A266" s="4" t="str">
        <f>"01.270/003 h/2025"</f>
        <v>01.270/003 h/2025</v>
      </c>
      <c r="B266" s="4" t="str">
        <f t="shared" si="15"/>
        <v xml:space="preserve">Führungswerkstatt </v>
      </c>
      <c r="C266" s="5">
        <v>46507</v>
      </c>
      <c r="D266" s="5">
        <v>46507</v>
      </c>
      <c r="E266" s="4"/>
      <c r="F266" s="6" t="s">
        <v>11</v>
      </c>
      <c r="G266" s="4" t="str">
        <f t="shared" si="14"/>
        <v>Führungsfortbildung</v>
      </c>
      <c r="H266" s="4" t="s">
        <v>11</v>
      </c>
    </row>
    <row r="267" spans="1:8" x14ac:dyDescent="0.2">
      <c r="A267" s="4" t="str">
        <f>"01.280/001/2025"</f>
        <v>01.280/001/2025</v>
      </c>
      <c r="B267" s="4" t="str">
        <f>"Themenwerkstatt: Agile Transformation - agile Führungskompetenz"</f>
        <v>Themenwerkstatt: Agile Transformation - agile Führungskompetenz</v>
      </c>
      <c r="C267" s="5">
        <v>45726</v>
      </c>
      <c r="D267" s="5">
        <v>45909</v>
      </c>
      <c r="E267" s="4" t="str">
        <f>"4x1 Tag"</f>
        <v>4x1 Tag</v>
      </c>
      <c r="F267" s="6">
        <v>1260</v>
      </c>
      <c r="G267" s="4"/>
      <c r="H267" s="4" t="s">
        <v>11</v>
      </c>
    </row>
    <row r="268" spans="1:8" x14ac:dyDescent="0.2">
      <c r="A268" s="4" t="str">
        <f>"01.280/001 a/2025"</f>
        <v>01.280/001 a/2025</v>
      </c>
      <c r="B268" s="4" t="str">
        <f>"Themenwerkstatt: Agile Transformation - agile Führungskompetenz"</f>
        <v>Themenwerkstatt: Agile Transformation - agile Führungskompetenz</v>
      </c>
      <c r="C268" s="5">
        <v>45726</v>
      </c>
      <c r="D268" s="5">
        <v>45726</v>
      </c>
      <c r="E268" s="4"/>
      <c r="F268" s="6" t="s">
        <v>11</v>
      </c>
      <c r="G268" s="4" t="str">
        <f>"Führungsfortbildung"</f>
        <v>Führungsfortbildung</v>
      </c>
      <c r="H268" s="4" t="s">
        <v>11</v>
      </c>
    </row>
    <row r="269" spans="1:8" x14ac:dyDescent="0.2">
      <c r="A269" s="4" t="str">
        <f>"01.280/001 b/2025"</f>
        <v>01.280/001 b/2025</v>
      </c>
      <c r="B269" s="4" t="str">
        <f>"Themenwerkstatt: Agile Transformation - agile Führungskompetenz"</f>
        <v>Themenwerkstatt: Agile Transformation - agile Führungskompetenz</v>
      </c>
      <c r="C269" s="5">
        <v>45786</v>
      </c>
      <c r="D269" s="5">
        <v>45786</v>
      </c>
      <c r="E269" s="4"/>
      <c r="F269" s="6" t="s">
        <v>11</v>
      </c>
      <c r="G269" s="4" t="str">
        <f>"Führungsfortbildung"</f>
        <v>Führungsfortbildung</v>
      </c>
      <c r="H269" s="4" t="s">
        <v>11</v>
      </c>
    </row>
    <row r="270" spans="1:8" x14ac:dyDescent="0.2">
      <c r="A270" s="4" t="str">
        <f>"01.280/001 c/2025"</f>
        <v>01.280/001 c/2025</v>
      </c>
      <c r="B270" s="4" t="str">
        <f>"Themenwerkstatt: Agile Transformation - agile Führungskompetenz"</f>
        <v>Themenwerkstatt: Agile Transformation - agile Führungskompetenz</v>
      </c>
      <c r="C270" s="5">
        <v>45841</v>
      </c>
      <c r="D270" s="5">
        <v>45841</v>
      </c>
      <c r="E270" s="4"/>
      <c r="F270" s="6" t="s">
        <v>11</v>
      </c>
      <c r="G270" s="4" t="str">
        <f>"Führungsfortbildung"</f>
        <v>Führungsfortbildung</v>
      </c>
      <c r="H270" s="4" t="s">
        <v>11</v>
      </c>
    </row>
    <row r="271" spans="1:8" x14ac:dyDescent="0.2">
      <c r="A271" s="4" t="str">
        <f>"01.280/001 d/2025"</f>
        <v>01.280/001 d/2025</v>
      </c>
      <c r="B271" s="4" t="str">
        <f>"Themenwerkstatt: Agile Transformation - agile Führungskompetenz"</f>
        <v>Themenwerkstatt: Agile Transformation - agile Führungskompetenz</v>
      </c>
      <c r="C271" s="5">
        <v>45909</v>
      </c>
      <c r="D271" s="5">
        <v>45909</v>
      </c>
      <c r="E271" s="4"/>
      <c r="F271" s="6" t="s">
        <v>11</v>
      </c>
      <c r="G271" s="4" t="str">
        <f>"Führungsfortbildung"</f>
        <v>Führungsfortbildung</v>
      </c>
      <c r="H271" s="4" t="s">
        <v>11</v>
      </c>
    </row>
    <row r="272" spans="1:8" x14ac:dyDescent="0.2">
      <c r="A272" s="4" t="str">
        <f>"01.282/001/2025"</f>
        <v>01.282/001/2025</v>
      </c>
      <c r="B272" s="4" t="str">
        <f>"Themenwerkstatt: Führungsbooster - Reflexion der Führungspraxis"</f>
        <v>Themenwerkstatt: Führungsbooster - Reflexion der Führungspraxis</v>
      </c>
      <c r="C272" s="5">
        <v>45737</v>
      </c>
      <c r="D272" s="5">
        <v>45915</v>
      </c>
      <c r="E272" s="4" t="str">
        <f>"4x1 Tag"</f>
        <v>4x1 Tag</v>
      </c>
      <c r="F272" s="6">
        <v>1260</v>
      </c>
      <c r="G272" s="4"/>
      <c r="H272" s="4" t="s">
        <v>11</v>
      </c>
    </row>
    <row r="273" spans="1:8" x14ac:dyDescent="0.2">
      <c r="A273" s="4" t="str">
        <f>"01.282/001 a/2025"</f>
        <v>01.282/001 a/2025</v>
      </c>
      <c r="B273" s="4" t="str">
        <f>"Themenwerkstatt: Führungsbooster - Reflexion eingefahrener Führungspraxis"</f>
        <v>Themenwerkstatt: Führungsbooster - Reflexion eingefahrener Führungspraxis</v>
      </c>
      <c r="C273" s="5">
        <v>45737</v>
      </c>
      <c r="D273" s="5">
        <v>45737</v>
      </c>
      <c r="E273" s="4"/>
      <c r="F273" s="6" t="s">
        <v>11</v>
      </c>
      <c r="G273" s="4" t="str">
        <f>"Führungsfortbildung"</f>
        <v>Führungsfortbildung</v>
      </c>
      <c r="H273" s="4" t="s">
        <v>11</v>
      </c>
    </row>
    <row r="274" spans="1:8" x14ac:dyDescent="0.2">
      <c r="A274" s="4" t="str">
        <f>"01.282/001 b/2025"</f>
        <v>01.282/001 b/2025</v>
      </c>
      <c r="B274" s="4" t="str">
        <f>"Themenwerkstatt: Führungsbooster - Reflexion eingefahrener Führungspraxis"</f>
        <v>Themenwerkstatt: Führungsbooster - Reflexion eingefahrener Führungspraxis</v>
      </c>
      <c r="C274" s="5">
        <v>45791</v>
      </c>
      <c r="D274" s="5">
        <v>45791</v>
      </c>
      <c r="E274" s="4"/>
      <c r="F274" s="6" t="s">
        <v>11</v>
      </c>
      <c r="G274" s="4" t="str">
        <f>"Führungsfortbildung"</f>
        <v>Führungsfortbildung</v>
      </c>
      <c r="H274" s="4" t="s">
        <v>11</v>
      </c>
    </row>
    <row r="275" spans="1:8" x14ac:dyDescent="0.2">
      <c r="A275" s="4" t="str">
        <f>"01.282/001 c/2025"</f>
        <v>01.282/001 c/2025</v>
      </c>
      <c r="B275" s="4" t="str">
        <f>"Themenwerkstatt: Führungsbooster - Reflexion eingefahrener Führungspraxis"</f>
        <v>Themenwerkstatt: Führungsbooster - Reflexion eingefahrener Führungspraxis</v>
      </c>
      <c r="C275" s="5">
        <v>45856</v>
      </c>
      <c r="D275" s="5">
        <v>45856</v>
      </c>
      <c r="E275" s="4"/>
      <c r="F275" s="6" t="s">
        <v>11</v>
      </c>
      <c r="G275" s="4" t="str">
        <f>"Führungsfortbildung"</f>
        <v>Führungsfortbildung</v>
      </c>
      <c r="H275" s="4" t="s">
        <v>11</v>
      </c>
    </row>
    <row r="276" spans="1:8" x14ac:dyDescent="0.2">
      <c r="A276" s="4" t="str">
        <f>"01.282/001 d/2025"</f>
        <v>01.282/001 d/2025</v>
      </c>
      <c r="B276" s="4" t="str">
        <f>"Themenwerkstatt: Führungsbooster - Reflexion eingefahrener Führungspraxis"</f>
        <v>Themenwerkstatt: Führungsbooster - Reflexion eingefahrener Führungspraxis</v>
      </c>
      <c r="C276" s="5">
        <v>45915</v>
      </c>
      <c r="D276" s="5">
        <v>45915</v>
      </c>
      <c r="E276" s="4"/>
      <c r="F276" s="6" t="s">
        <v>11</v>
      </c>
      <c r="G276" s="4" t="str">
        <f>"Führungsfortbildung"</f>
        <v>Führungsfortbildung</v>
      </c>
      <c r="H276" s="4" t="s">
        <v>11</v>
      </c>
    </row>
    <row r="277" spans="1:8" x14ac:dyDescent="0.2">
      <c r="A277" s="4" t="str">
        <f>"01.284/001/2025"</f>
        <v>01.284/001/2025</v>
      </c>
      <c r="B277" s="4" t="str">
        <f>"Themenwerkstatt: Führungskommunikation"</f>
        <v>Themenwerkstatt: Führungskommunikation</v>
      </c>
      <c r="C277" s="5">
        <v>45747</v>
      </c>
      <c r="D277" s="5">
        <v>45946</v>
      </c>
      <c r="E277" s="4" t="str">
        <f>"4x1 Tag"</f>
        <v>4x1 Tag</v>
      </c>
      <c r="F277" s="6">
        <v>1260</v>
      </c>
      <c r="G277" s="4"/>
      <c r="H277" s="4" t="s">
        <v>11</v>
      </c>
    </row>
    <row r="278" spans="1:8" x14ac:dyDescent="0.2">
      <c r="A278" s="4" t="str">
        <f>"01.284/001 a/2025"</f>
        <v>01.284/001 a/2025</v>
      </c>
      <c r="B278" s="4" t="str">
        <f>"Themenwerkstatt: Führungskommunikation - Fokus Kommunikation"</f>
        <v>Themenwerkstatt: Führungskommunikation - Fokus Kommunikation</v>
      </c>
      <c r="C278" s="5">
        <v>45747</v>
      </c>
      <c r="D278" s="5">
        <v>45747</v>
      </c>
      <c r="E278" s="4"/>
      <c r="F278" s="6" t="s">
        <v>11</v>
      </c>
      <c r="G278" s="4" t="str">
        <f>"Führungsfortbildung"</f>
        <v>Führungsfortbildung</v>
      </c>
      <c r="H278" s="4" t="s">
        <v>11</v>
      </c>
    </row>
    <row r="279" spans="1:8" x14ac:dyDescent="0.2">
      <c r="A279" s="4" t="str">
        <f>"01.284/001 b/2025"</f>
        <v>01.284/001 b/2025</v>
      </c>
      <c r="B279" s="4" t="str">
        <f>"Themenwerkstatt: Führungskommunikation - Fokus Kommunikation"</f>
        <v>Themenwerkstatt: Führungskommunikation - Fokus Kommunikation</v>
      </c>
      <c r="C279" s="5">
        <v>45814</v>
      </c>
      <c r="D279" s="5">
        <v>45814</v>
      </c>
      <c r="E279" s="4"/>
      <c r="F279" s="6" t="s">
        <v>11</v>
      </c>
      <c r="G279" s="4" t="str">
        <f>"Führungsfortbildung"</f>
        <v>Führungsfortbildung</v>
      </c>
      <c r="H279" s="4" t="s">
        <v>11</v>
      </c>
    </row>
    <row r="280" spans="1:8" x14ac:dyDescent="0.2">
      <c r="A280" s="4" t="str">
        <f>"01.284/001 c/2025"</f>
        <v>01.284/001 c/2025</v>
      </c>
      <c r="B280" s="4" t="str">
        <f>"Themenwerkstatt: Führungskommunikation - Fokus Kommunikation"</f>
        <v>Themenwerkstatt: Führungskommunikation - Fokus Kommunikation</v>
      </c>
      <c r="C280" s="5">
        <v>45870</v>
      </c>
      <c r="D280" s="5">
        <v>45870</v>
      </c>
      <c r="E280" s="4"/>
      <c r="F280" s="6" t="s">
        <v>11</v>
      </c>
      <c r="G280" s="4" t="str">
        <f>"Führungsfortbildung"</f>
        <v>Führungsfortbildung</v>
      </c>
      <c r="H280" s="4" t="s">
        <v>11</v>
      </c>
    </row>
    <row r="281" spans="1:8" x14ac:dyDescent="0.2">
      <c r="A281" s="4" t="str">
        <f>"01.284/001 d/2025"</f>
        <v>01.284/001 d/2025</v>
      </c>
      <c r="B281" s="4" t="str">
        <f>"Themenwerkstatt: Führungskommunikation - Fokus Kommunikation"</f>
        <v>Themenwerkstatt: Führungskommunikation - Fokus Kommunikation</v>
      </c>
      <c r="C281" s="5">
        <v>45946</v>
      </c>
      <c r="D281" s="5">
        <v>45946</v>
      </c>
      <c r="E281" s="4"/>
      <c r="F281" s="6" t="s">
        <v>11</v>
      </c>
      <c r="G281" s="4" t="str">
        <f>"Führungsfortbildung"</f>
        <v>Führungsfortbildung</v>
      </c>
      <c r="H281" s="4" t="s">
        <v>11</v>
      </c>
    </row>
    <row r="282" spans="1:8" x14ac:dyDescent="0.2">
      <c r="A282" s="4" t="str">
        <f>"01.286/001/2025"</f>
        <v>01.286/001/2025</v>
      </c>
      <c r="B282" s="4" t="str">
        <f>"Themenwerkstatt: Von der Problem- in die Lösungsorientierung"</f>
        <v>Themenwerkstatt: Von der Problem- in die Lösungsorientierung</v>
      </c>
      <c r="C282" s="5">
        <v>45800</v>
      </c>
      <c r="D282" s="5">
        <v>45992</v>
      </c>
      <c r="E282" s="4" t="str">
        <f>"4x1 Tag"</f>
        <v>4x1 Tag</v>
      </c>
      <c r="F282" s="6">
        <v>1260</v>
      </c>
      <c r="G282" s="4"/>
      <c r="H282" s="4" t="s">
        <v>11</v>
      </c>
    </row>
    <row r="283" spans="1:8" x14ac:dyDescent="0.2">
      <c r="A283" s="4" t="str">
        <f>"01.286/001 a/2025"</f>
        <v>01.286/001 a/2025</v>
      </c>
      <c r="B283" s="4" t="str">
        <f>"Themenwerkstatt: Von der Problem- in die Lösungsorientierung mit Fokus Lösungsorientierung"</f>
        <v>Themenwerkstatt: Von der Problem- in die Lösungsorientierung mit Fokus Lösungsorientierung</v>
      </c>
      <c r="C283" s="5">
        <v>45800</v>
      </c>
      <c r="D283" s="5">
        <v>45800</v>
      </c>
      <c r="E283" s="4"/>
      <c r="F283" s="6" t="s">
        <v>11</v>
      </c>
      <c r="G283" s="4" t="str">
        <f>"Führungsfortbildung"</f>
        <v>Führungsfortbildung</v>
      </c>
      <c r="H283" s="4" t="s">
        <v>11</v>
      </c>
    </row>
    <row r="284" spans="1:8" x14ac:dyDescent="0.2">
      <c r="A284" s="4" t="str">
        <f>"01.286/001 b/2025"</f>
        <v>01.286/001 b/2025</v>
      </c>
      <c r="B284" s="4" t="str">
        <f>"Themenwerkstatt: Von der Problem- in die Lösungsorientierung mit Fokus Lösungsorientierung"</f>
        <v>Themenwerkstatt: Von der Problem- in die Lösungsorientierung mit Fokus Lösungsorientierung</v>
      </c>
      <c r="C284" s="5">
        <v>45847</v>
      </c>
      <c r="D284" s="5">
        <v>45847</v>
      </c>
      <c r="E284" s="4"/>
      <c r="F284" s="6" t="s">
        <v>11</v>
      </c>
      <c r="G284" s="4" t="str">
        <f>"Führungsfortbildung"</f>
        <v>Führungsfortbildung</v>
      </c>
      <c r="H284" s="4" t="s">
        <v>11</v>
      </c>
    </row>
    <row r="285" spans="1:8" x14ac:dyDescent="0.2">
      <c r="A285" s="4" t="str">
        <f>"01.286/001 c/2025"</f>
        <v>01.286/001 c/2025</v>
      </c>
      <c r="B285" s="4" t="str">
        <f>"Themenwerkstatt: Von der Problem- in die Lösungsorientierung mit Fokus Lösungsorientierung"</f>
        <v>Themenwerkstatt: Von der Problem- in die Lösungsorientierung mit Fokus Lösungsorientierung</v>
      </c>
      <c r="C285" s="5">
        <v>45922</v>
      </c>
      <c r="D285" s="5">
        <v>45922</v>
      </c>
      <c r="E285" s="4"/>
      <c r="F285" s="6" t="s">
        <v>11</v>
      </c>
      <c r="G285" s="4" t="str">
        <f>"Führungsfortbildung"</f>
        <v>Führungsfortbildung</v>
      </c>
      <c r="H285" s="4" t="s">
        <v>11</v>
      </c>
    </row>
    <row r="286" spans="1:8" x14ac:dyDescent="0.2">
      <c r="A286" s="4" t="str">
        <f>"01.286/001 d/2025"</f>
        <v>01.286/001 d/2025</v>
      </c>
      <c r="B286" s="4" t="str">
        <f>"Themenwerkstatt: Von der Problem- in die Lösungsorientierung mit Fokus Lösungsorientierung"</f>
        <v>Themenwerkstatt: Von der Problem- in die Lösungsorientierung mit Fokus Lösungsorientierung</v>
      </c>
      <c r="C286" s="5">
        <v>45992</v>
      </c>
      <c r="D286" s="5">
        <v>45992</v>
      </c>
      <c r="E286" s="4"/>
      <c r="F286" s="6" t="s">
        <v>11</v>
      </c>
      <c r="G286" s="4" t="str">
        <f>"Führungsfortbildung"</f>
        <v>Führungsfortbildung</v>
      </c>
      <c r="H286" s="4" t="s">
        <v>11</v>
      </c>
    </row>
    <row r="287" spans="1:8" x14ac:dyDescent="0.2">
      <c r="A287" s="4" t="str">
        <f>"01.288/001/2025"</f>
        <v>01.288/001/2025</v>
      </c>
      <c r="B287" s="4" t="str">
        <f>"Themenwerkstatt: Neue Führungswelten?"</f>
        <v>Themenwerkstatt: Neue Führungswelten?</v>
      </c>
      <c r="C287" s="5">
        <v>45901</v>
      </c>
      <c r="D287" s="5">
        <v>46090</v>
      </c>
      <c r="E287" s="4" t="str">
        <f>"4x1 Tag"</f>
        <v>4x1 Tag</v>
      </c>
      <c r="F287" s="6">
        <v>1260</v>
      </c>
      <c r="G287" s="4"/>
      <c r="H287" s="4" t="s">
        <v>11</v>
      </c>
    </row>
    <row r="288" spans="1:8" x14ac:dyDescent="0.2">
      <c r="A288" s="4" t="str">
        <f>"01.288/001 a/2025"</f>
        <v>01.288/001 a/2025</v>
      </c>
      <c r="B288" s="4" t="str">
        <f>"Themenwerkstatt: Neue Führungswelten mit Fokus Mitarbeitende"</f>
        <v>Themenwerkstatt: Neue Führungswelten mit Fokus Mitarbeitende</v>
      </c>
      <c r="C288" s="5">
        <v>45901</v>
      </c>
      <c r="D288" s="5">
        <v>45901</v>
      </c>
      <c r="E288" s="4"/>
      <c r="F288" s="6" t="s">
        <v>11</v>
      </c>
      <c r="G288" s="4" t="str">
        <f>"Führungsfortbildung"</f>
        <v>Führungsfortbildung</v>
      </c>
      <c r="H288" s="4" t="s">
        <v>11</v>
      </c>
    </row>
    <row r="289" spans="1:8" x14ac:dyDescent="0.2">
      <c r="A289" s="4" t="str">
        <f>"01.288/001 b/2025"</f>
        <v>01.288/001 b/2025</v>
      </c>
      <c r="B289" s="4" t="str">
        <f>"Themenwerkstatt: Neue Führungswelten mit Fokus Mitarbeitende"</f>
        <v>Themenwerkstatt: Neue Führungswelten mit Fokus Mitarbeitende</v>
      </c>
      <c r="C289" s="5">
        <v>45961</v>
      </c>
      <c r="D289" s="5">
        <v>45961</v>
      </c>
      <c r="E289" s="4"/>
      <c r="F289" s="6" t="s">
        <v>11</v>
      </c>
      <c r="G289" s="4" t="str">
        <f>"Führungsfortbildung"</f>
        <v>Führungsfortbildung</v>
      </c>
      <c r="H289" s="4" t="s">
        <v>11</v>
      </c>
    </row>
    <row r="290" spans="1:8" x14ac:dyDescent="0.2">
      <c r="A290" s="4" t="str">
        <f>"01.288/001 c/2025"</f>
        <v>01.288/001 c/2025</v>
      </c>
      <c r="B290" s="4" t="str">
        <f>"Themenwerkstatt: Neue Führungswelten mit Fokus Mitarbeitende"</f>
        <v>Themenwerkstatt: Neue Führungswelten mit Fokus Mitarbeitende</v>
      </c>
      <c r="C290" s="5">
        <v>46031</v>
      </c>
      <c r="D290" s="5">
        <v>46031</v>
      </c>
      <c r="E290" s="4"/>
      <c r="F290" s="6" t="s">
        <v>11</v>
      </c>
      <c r="G290" s="4" t="str">
        <f>"Führungsfortbildung"</f>
        <v>Führungsfortbildung</v>
      </c>
      <c r="H290" s="4" t="s">
        <v>11</v>
      </c>
    </row>
    <row r="291" spans="1:8" x14ac:dyDescent="0.2">
      <c r="A291" s="4" t="str">
        <f>"01.288/001 d/2025"</f>
        <v>01.288/001 d/2025</v>
      </c>
      <c r="B291" s="4" t="str">
        <f>"Themenwerkstatt: Neue Führungswelten mit Fokus Mitarbeitende"</f>
        <v>Themenwerkstatt: Neue Führungswelten mit Fokus Mitarbeitende</v>
      </c>
      <c r="C291" s="5">
        <v>46090</v>
      </c>
      <c r="D291" s="5">
        <v>46090</v>
      </c>
      <c r="E291" s="4"/>
      <c r="F291" s="6" t="s">
        <v>11</v>
      </c>
      <c r="G291" s="4" t="str">
        <f>"Führungsfortbildung"</f>
        <v>Führungsfortbildung</v>
      </c>
      <c r="H291" s="4" t="s">
        <v>11</v>
      </c>
    </row>
    <row r="292" spans="1:8" x14ac:dyDescent="0.2">
      <c r="A292" s="4" t="str">
        <f>"01.290/001/2025"</f>
        <v>01.290/001/2025</v>
      </c>
      <c r="B292" s="4" t="str">
        <f>"Themenwerkstatt: Zukunft von Führung in der Verwaltung"</f>
        <v>Themenwerkstatt: Zukunft von Führung in der Verwaltung</v>
      </c>
      <c r="C292" s="5">
        <v>45926</v>
      </c>
      <c r="D292" s="5">
        <v>46125</v>
      </c>
      <c r="E292" s="4" t="str">
        <f>"4x1 Tag"</f>
        <v>4x1 Tag</v>
      </c>
      <c r="F292" s="6">
        <v>1260</v>
      </c>
      <c r="G292" s="4"/>
      <c r="H292" s="4" t="s">
        <v>11</v>
      </c>
    </row>
    <row r="293" spans="1:8" x14ac:dyDescent="0.2">
      <c r="A293" s="4" t="str">
        <f>"01.290/001 a/2025"</f>
        <v>01.290/001 a/2025</v>
      </c>
      <c r="B293" s="4" t="str">
        <f>"Themenwerkstatt: Zukunft von Führung mit Fokus Mindset"</f>
        <v>Themenwerkstatt: Zukunft von Führung mit Fokus Mindset</v>
      </c>
      <c r="C293" s="5">
        <v>45926</v>
      </c>
      <c r="D293" s="5">
        <v>45926</v>
      </c>
      <c r="E293" s="4"/>
      <c r="F293" s="6" t="s">
        <v>11</v>
      </c>
      <c r="G293" s="4" t="str">
        <f>"Führungsfortbildung"</f>
        <v>Führungsfortbildung</v>
      </c>
      <c r="H293" s="4" t="s">
        <v>11</v>
      </c>
    </row>
    <row r="294" spans="1:8" x14ac:dyDescent="0.2">
      <c r="A294" s="4" t="str">
        <f>"01.290/001 b/2025"</f>
        <v>01.290/001 b/2025</v>
      </c>
      <c r="B294" s="4" t="str">
        <f>"Themenwerkstatt: Zukunft von Führung mit Fokus Mindset"</f>
        <v>Themenwerkstatt: Zukunft von Führung mit Fokus Mindset</v>
      </c>
      <c r="C294" s="5">
        <v>45995</v>
      </c>
      <c r="D294" s="5">
        <v>45995</v>
      </c>
      <c r="E294" s="4"/>
      <c r="F294" s="6" t="s">
        <v>11</v>
      </c>
      <c r="G294" s="4" t="str">
        <f>"Führungsfortbildung"</f>
        <v>Führungsfortbildung</v>
      </c>
      <c r="H294" s="4" t="s">
        <v>11</v>
      </c>
    </row>
    <row r="295" spans="1:8" x14ac:dyDescent="0.2">
      <c r="A295" s="4" t="str">
        <f>"01.290/001 c/2025"</f>
        <v>01.290/001 c/2025</v>
      </c>
      <c r="B295" s="4" t="str">
        <f>"Themenwerkstatt: Zukunft von Führung mit Fokus Mindset"</f>
        <v>Themenwerkstatt: Zukunft von Führung mit Fokus Mindset</v>
      </c>
      <c r="C295" s="5">
        <v>46063</v>
      </c>
      <c r="D295" s="5">
        <v>46063</v>
      </c>
      <c r="E295" s="4"/>
      <c r="F295" s="6" t="s">
        <v>11</v>
      </c>
      <c r="G295" s="4" t="str">
        <f>"Führungsfortbildung"</f>
        <v>Führungsfortbildung</v>
      </c>
      <c r="H295" s="4" t="s">
        <v>11</v>
      </c>
    </row>
    <row r="296" spans="1:8" x14ac:dyDescent="0.2">
      <c r="A296" s="4" t="str">
        <f>"01.290/001 d/2025"</f>
        <v>01.290/001 d/2025</v>
      </c>
      <c r="B296" s="4" t="str">
        <f>"Themenwerkstatt: Zukunft von Führung mit Fokus Mindset"</f>
        <v>Themenwerkstatt: Zukunft von Führung mit Fokus Mindset</v>
      </c>
      <c r="C296" s="5">
        <v>46125</v>
      </c>
      <c r="D296" s="5">
        <v>46125</v>
      </c>
      <c r="E296" s="4"/>
      <c r="F296" s="6" t="s">
        <v>11</v>
      </c>
      <c r="G296" s="4" t="str">
        <f>"Führungsfortbildung"</f>
        <v>Führungsfortbildung</v>
      </c>
      <c r="H296" s="4" t="s">
        <v>11</v>
      </c>
    </row>
    <row r="297" spans="1:8" x14ac:dyDescent="0.2">
      <c r="A297" s="4" t="str">
        <f>"01.292/001/2025"</f>
        <v>01.292/001/2025</v>
      </c>
      <c r="B297" s="4" t="str">
        <f>"Themenwerkstatt: Veränderung"</f>
        <v>Themenwerkstatt: Veränderung</v>
      </c>
      <c r="C297" s="5">
        <v>45938</v>
      </c>
      <c r="D297" s="5">
        <v>46136</v>
      </c>
      <c r="E297" s="4" t="str">
        <f>"4x1 Tag"</f>
        <v>4x1 Tag</v>
      </c>
      <c r="F297" s="6">
        <v>1260</v>
      </c>
      <c r="G297" s="4"/>
      <c r="H297" s="4" t="s">
        <v>11</v>
      </c>
    </row>
    <row r="298" spans="1:8" x14ac:dyDescent="0.2">
      <c r="A298" s="4" t="str">
        <f>"01.292/001 a/2025"</f>
        <v>01.292/001 a/2025</v>
      </c>
      <c r="B298" s="4" t="str">
        <f>"Themenwerkstatt: Veränderung. Fokus: Mindset/ Haltung "</f>
        <v xml:space="preserve">Themenwerkstatt: Veränderung. Fokus: Mindset/ Haltung </v>
      </c>
      <c r="C298" s="5">
        <v>45938</v>
      </c>
      <c r="D298" s="5">
        <v>45938</v>
      </c>
      <c r="E298" s="4"/>
      <c r="F298" s="6" t="s">
        <v>11</v>
      </c>
      <c r="G298" s="4" t="str">
        <f>"Führungsfortbildung"</f>
        <v>Führungsfortbildung</v>
      </c>
      <c r="H298" s="4" t="s">
        <v>11</v>
      </c>
    </row>
    <row r="299" spans="1:8" x14ac:dyDescent="0.2">
      <c r="A299" s="4" t="str">
        <f>"01.292/001 b/2025"</f>
        <v>01.292/001 b/2025</v>
      </c>
      <c r="B299" s="4" t="str">
        <f>"Themenwerkstatt: Veränderung. Fokus: Mindset/ Haltung"</f>
        <v>Themenwerkstatt: Veränderung. Fokus: Mindset/ Haltung</v>
      </c>
      <c r="C299" s="5">
        <v>46003</v>
      </c>
      <c r="D299" s="5">
        <v>46003</v>
      </c>
      <c r="E299" s="4"/>
      <c r="F299" s="6" t="s">
        <v>11</v>
      </c>
      <c r="G299" s="4" t="str">
        <f>"Führungsfortbildung"</f>
        <v>Führungsfortbildung</v>
      </c>
      <c r="H299" s="4" t="s">
        <v>11</v>
      </c>
    </row>
    <row r="300" spans="1:8" x14ac:dyDescent="0.2">
      <c r="A300" s="4" t="str">
        <f>"01.292/001 c/2025"</f>
        <v>01.292/001 c/2025</v>
      </c>
      <c r="B300" s="4" t="str">
        <f>"Themenwerkstatt: Veränderung. Fokus: Mindset/ Haltung"</f>
        <v>Themenwerkstatt: Veränderung. Fokus: Mindset/ Haltung</v>
      </c>
      <c r="C300" s="5">
        <v>46065</v>
      </c>
      <c r="D300" s="5">
        <v>46065</v>
      </c>
      <c r="E300" s="4"/>
      <c r="F300" s="6" t="s">
        <v>11</v>
      </c>
      <c r="G300" s="4" t="str">
        <f>"Führungsfortbildung"</f>
        <v>Führungsfortbildung</v>
      </c>
      <c r="H300" s="4" t="s">
        <v>11</v>
      </c>
    </row>
    <row r="301" spans="1:8" x14ac:dyDescent="0.2">
      <c r="A301" s="4" t="str">
        <f>"01.292/001 d/2025"</f>
        <v>01.292/001 d/2025</v>
      </c>
      <c r="B301" s="4" t="str">
        <f>"Themenwerkstatt: Veränderung. Fokus: Mindset/ Haltung"</f>
        <v>Themenwerkstatt: Veränderung. Fokus: Mindset/ Haltung</v>
      </c>
      <c r="C301" s="5">
        <v>46136</v>
      </c>
      <c r="D301" s="5">
        <v>46136</v>
      </c>
      <c r="E301" s="4"/>
      <c r="F301" s="6" t="s">
        <v>11</v>
      </c>
      <c r="G301" s="4" t="str">
        <f>"Führungsfortbildung"</f>
        <v>Führungsfortbildung</v>
      </c>
      <c r="H301" s="4" t="s">
        <v>11</v>
      </c>
    </row>
    <row r="302" spans="1:8" x14ac:dyDescent="0.2">
      <c r="A302" s="4" t="str">
        <f>"01.294/001/2025"</f>
        <v>01.294/001/2025</v>
      </c>
      <c r="B302" s="4" t="str">
        <f>"Themenwerkstatt: Neu in der Führungsrolle "</f>
        <v xml:space="preserve">Themenwerkstatt: Neu in der Führungsrolle </v>
      </c>
      <c r="C302" s="5">
        <v>45947</v>
      </c>
      <c r="D302" s="5">
        <v>46146</v>
      </c>
      <c r="E302" s="4" t="str">
        <f>"4x1 Tag"</f>
        <v>4x1 Tag</v>
      </c>
      <c r="F302" s="6">
        <v>1260</v>
      </c>
      <c r="G302" s="4"/>
      <c r="H302" s="4" t="s">
        <v>11</v>
      </c>
    </row>
    <row r="303" spans="1:8" x14ac:dyDescent="0.2">
      <c r="A303" s="4" t="str">
        <f>"01.294/001 a/2025"</f>
        <v>01.294/001 a/2025</v>
      </c>
      <c r="B303" s="4" t="str">
        <f>"Themenwerkstatt: Neu in der Führungsrolle"</f>
        <v>Themenwerkstatt: Neu in der Führungsrolle</v>
      </c>
      <c r="C303" s="5">
        <v>45947</v>
      </c>
      <c r="D303" s="5">
        <v>45947</v>
      </c>
      <c r="E303" s="4"/>
      <c r="F303" s="6" t="s">
        <v>11</v>
      </c>
      <c r="G303" s="4" t="str">
        <f>"Führungsfortbildung"</f>
        <v>Führungsfortbildung</v>
      </c>
      <c r="H303" s="4" t="s">
        <v>11</v>
      </c>
    </row>
    <row r="304" spans="1:8" x14ac:dyDescent="0.2">
      <c r="A304" s="4" t="str">
        <f>"01.294/001 b/2025"</f>
        <v>01.294/001 b/2025</v>
      </c>
      <c r="B304" s="4" t="str">
        <f>"Themenwerkstatt: Neu in der Führungsrolle"</f>
        <v>Themenwerkstatt: Neu in der Führungsrolle</v>
      </c>
      <c r="C304" s="5">
        <v>46006</v>
      </c>
      <c r="D304" s="5">
        <v>46006</v>
      </c>
      <c r="E304" s="4"/>
      <c r="F304" s="6" t="s">
        <v>11</v>
      </c>
      <c r="G304" s="4" t="str">
        <f>"Führungsfortbildung"</f>
        <v>Führungsfortbildung</v>
      </c>
      <c r="H304" s="4" t="s">
        <v>11</v>
      </c>
    </row>
    <row r="305" spans="1:8" x14ac:dyDescent="0.2">
      <c r="A305" s="4" t="str">
        <f>"01.294/001 c/2025"</f>
        <v>01.294/001 c/2025</v>
      </c>
      <c r="B305" s="4" t="str">
        <f>"Themenwerkstatt: Neu in der Führungsrolle"</f>
        <v>Themenwerkstatt: Neu in der Führungsrolle</v>
      </c>
      <c r="C305" s="5">
        <v>46080</v>
      </c>
      <c r="D305" s="5">
        <v>46080</v>
      </c>
      <c r="E305" s="4"/>
      <c r="F305" s="6" t="s">
        <v>11</v>
      </c>
      <c r="G305" s="4" t="str">
        <f>"Führungsfortbildung"</f>
        <v>Führungsfortbildung</v>
      </c>
      <c r="H305" s="4" t="s">
        <v>11</v>
      </c>
    </row>
    <row r="306" spans="1:8" x14ac:dyDescent="0.2">
      <c r="A306" s="4" t="str">
        <f>"01.294/001 d/2025"</f>
        <v>01.294/001 d/2025</v>
      </c>
      <c r="B306" s="4" t="str">
        <f>"Themenwerkstatt: Neu in der Führungsrolle"</f>
        <v>Themenwerkstatt: Neu in der Führungsrolle</v>
      </c>
      <c r="C306" s="5">
        <v>46146</v>
      </c>
      <c r="D306" s="5">
        <v>46146</v>
      </c>
      <c r="E306" s="4"/>
      <c r="F306" s="6" t="s">
        <v>11</v>
      </c>
      <c r="G306" s="4" t="str">
        <f>"Führungsfortbildung"</f>
        <v>Führungsfortbildung</v>
      </c>
      <c r="H306" s="4" t="s">
        <v>11</v>
      </c>
    </row>
    <row r="307" spans="1:8" x14ac:dyDescent="0.2">
      <c r="A307" s="4" t="str">
        <f>"01.410/001/2025"</f>
        <v>01.410/001/2025</v>
      </c>
      <c r="B307" s="4" t="str">
        <f>"Vorausschauend führen"</f>
        <v>Vorausschauend führen</v>
      </c>
      <c r="C307" s="5">
        <v>45803</v>
      </c>
      <c r="D307" s="5">
        <v>45804</v>
      </c>
      <c r="E307" s="4" t="str">
        <f>"2 Tage"</f>
        <v>2 Tage</v>
      </c>
      <c r="F307" s="6">
        <v>490</v>
      </c>
      <c r="G307" s="4" t="str">
        <f>"Führungsfortbildung"</f>
        <v>Führungsfortbildung</v>
      </c>
      <c r="H307" s="4" t="s">
        <v>11</v>
      </c>
    </row>
    <row r="308" spans="1:8" x14ac:dyDescent="0.2">
      <c r="A308" s="4" t="str">
        <f>"01.420/001/2025"</f>
        <v>01.420/001/2025</v>
      </c>
      <c r="B308" s="4" t="str">
        <f>"Gute Führung durch Mitarbeiterbindung"</f>
        <v>Gute Führung durch Mitarbeiterbindung</v>
      </c>
      <c r="C308" s="5">
        <v>45666</v>
      </c>
      <c r="D308" s="5">
        <v>45758</v>
      </c>
      <c r="E308" s="4" t="str">
        <f>"2x2 Tage"</f>
        <v>2x2 Tage</v>
      </c>
      <c r="F308" s="6">
        <v>990</v>
      </c>
      <c r="G308" s="4"/>
      <c r="H308" s="4" t="s">
        <v>11</v>
      </c>
    </row>
    <row r="309" spans="1:8" x14ac:dyDescent="0.2">
      <c r="A309" s="4" t="str">
        <f>"01.420/001 a/2025"</f>
        <v>01.420/001 a/2025</v>
      </c>
      <c r="B309" s="4" t="str">
        <f>"Gute Führung durch Mitarbeiterbindung"</f>
        <v>Gute Führung durch Mitarbeiterbindung</v>
      </c>
      <c r="C309" s="5">
        <v>45666</v>
      </c>
      <c r="D309" s="5">
        <v>45667</v>
      </c>
      <c r="E309" s="4"/>
      <c r="F309" s="6" t="s">
        <v>11</v>
      </c>
      <c r="G309" s="4" t="str">
        <f t="shared" ref="G309:G316" si="16">"Führungsfortbildung"</f>
        <v>Führungsfortbildung</v>
      </c>
      <c r="H309" s="4" t="s">
        <v>11</v>
      </c>
    </row>
    <row r="310" spans="1:8" x14ac:dyDescent="0.2">
      <c r="A310" s="4" t="str">
        <f>"01.420/001 b/2025"</f>
        <v>01.420/001 b/2025</v>
      </c>
      <c r="B310" s="4" t="str">
        <f>"Gute Führung durch Mitarbeiterbindung"</f>
        <v>Gute Führung durch Mitarbeiterbindung</v>
      </c>
      <c r="C310" s="5">
        <v>45757</v>
      </c>
      <c r="D310" s="5">
        <v>45758</v>
      </c>
      <c r="E310" s="4"/>
      <c r="F310" s="6" t="s">
        <v>11</v>
      </c>
      <c r="G310" s="4" t="str">
        <f t="shared" si="16"/>
        <v>Führungsfortbildung</v>
      </c>
      <c r="H310" s="4" t="s">
        <v>11</v>
      </c>
    </row>
    <row r="311" spans="1:8" x14ac:dyDescent="0.2">
      <c r="A311" s="4" t="str">
        <f>"01.435/001/2025"</f>
        <v>01.435/001/2025</v>
      </c>
      <c r="B311" s="4" t="str">
        <f>"Rollenwechsel - gestern Kollegin oder Kollege, heute Vorgesetzte oder Vorgesetzter"</f>
        <v>Rollenwechsel - gestern Kollegin oder Kollege, heute Vorgesetzte oder Vorgesetzter</v>
      </c>
      <c r="C311" s="5">
        <v>45665</v>
      </c>
      <c r="D311" s="5">
        <v>45667</v>
      </c>
      <c r="E311" s="4" t="str">
        <f t="shared" ref="E311:E316" si="17">"3 Tage"</f>
        <v>3 Tage</v>
      </c>
      <c r="F311" s="6">
        <v>760</v>
      </c>
      <c r="G311" s="4" t="str">
        <f t="shared" si="16"/>
        <v>Führungsfortbildung</v>
      </c>
      <c r="H311" s="4" t="s">
        <v>11</v>
      </c>
    </row>
    <row r="312" spans="1:8" x14ac:dyDescent="0.2">
      <c r="A312" s="4" t="str">
        <f>"01.435/002/2025"</f>
        <v>01.435/002/2025</v>
      </c>
      <c r="B312" s="4" t="str">
        <f>"Rollenwechsel - gestern Kollegin oder Kollege, heute Vorgesetzte oder Vorgesetzter"</f>
        <v>Rollenwechsel - gestern Kollegin oder Kollege, heute Vorgesetzte oder Vorgesetzter</v>
      </c>
      <c r="C312" s="5">
        <v>45929</v>
      </c>
      <c r="D312" s="5">
        <v>45931</v>
      </c>
      <c r="E312" s="4" t="str">
        <f t="shared" si="17"/>
        <v>3 Tage</v>
      </c>
      <c r="F312" s="6">
        <v>760</v>
      </c>
      <c r="G312" s="4" t="str">
        <f t="shared" si="16"/>
        <v>Führungsfortbildung</v>
      </c>
      <c r="H312" s="4" t="s">
        <v>11</v>
      </c>
    </row>
    <row r="313" spans="1:8" x14ac:dyDescent="0.2">
      <c r="A313" s="4" t="str">
        <f>"01.445/001/2025"</f>
        <v>01.445/001/2025</v>
      </c>
      <c r="B313" s="4" t="str">
        <f>"Führen in der Sandwichposition"</f>
        <v>Führen in der Sandwichposition</v>
      </c>
      <c r="C313" s="5">
        <v>45803</v>
      </c>
      <c r="D313" s="5">
        <v>45805</v>
      </c>
      <c r="E313" s="4" t="str">
        <f t="shared" si="17"/>
        <v>3 Tage</v>
      </c>
      <c r="F313" s="6">
        <v>760</v>
      </c>
      <c r="G313" s="4" t="str">
        <f t="shared" si="16"/>
        <v>Führungsfortbildung</v>
      </c>
      <c r="H313" s="4" t="s">
        <v>11</v>
      </c>
    </row>
    <row r="314" spans="1:8" x14ac:dyDescent="0.2">
      <c r="A314" s="4" t="str">
        <f>"01.445/002/2025"</f>
        <v>01.445/002/2025</v>
      </c>
      <c r="B314" s="4" t="str">
        <f>"Führen in der Sandwichposition"</f>
        <v>Führen in der Sandwichposition</v>
      </c>
      <c r="C314" s="5">
        <v>45966</v>
      </c>
      <c r="D314" s="5">
        <v>45968</v>
      </c>
      <c r="E314" s="4" t="str">
        <f t="shared" si="17"/>
        <v>3 Tage</v>
      </c>
      <c r="F314" s="6">
        <v>760</v>
      </c>
      <c r="G314" s="4" t="str">
        <f t="shared" si="16"/>
        <v>Führungsfortbildung</v>
      </c>
      <c r="H314" s="4" t="s">
        <v>11</v>
      </c>
    </row>
    <row r="315" spans="1:8" x14ac:dyDescent="0.2">
      <c r="A315" s="4" t="str">
        <f>"01.450/001/2025"</f>
        <v>01.450/001/2025</v>
      </c>
      <c r="B315" s="4" t="str">
        <f>"Wenn die Hierarchie nicht zieht - Führen auf Augenhöhe"</f>
        <v>Wenn die Hierarchie nicht zieht - Führen auf Augenhöhe</v>
      </c>
      <c r="C315" s="5">
        <v>45754</v>
      </c>
      <c r="D315" s="5">
        <v>45756</v>
      </c>
      <c r="E315" s="4" t="str">
        <f t="shared" si="17"/>
        <v>3 Tage</v>
      </c>
      <c r="F315" s="6">
        <v>760</v>
      </c>
      <c r="G315" s="4" t="str">
        <f t="shared" si="16"/>
        <v>Führungsfortbildung</v>
      </c>
      <c r="H315" s="4" t="s">
        <v>11</v>
      </c>
    </row>
    <row r="316" spans="1:8" x14ac:dyDescent="0.2">
      <c r="A316" s="4" t="str">
        <f>"01.450/002/2025"</f>
        <v>01.450/002/2025</v>
      </c>
      <c r="B316" s="4" t="str">
        <f>"Wenn die Hierarchie nicht zieht - Führen auf Augenhöhe"</f>
        <v>Wenn die Hierarchie nicht zieht - Führen auf Augenhöhe</v>
      </c>
      <c r="C316" s="5">
        <v>45950</v>
      </c>
      <c r="D316" s="5">
        <v>45952</v>
      </c>
      <c r="E316" s="4" t="str">
        <f t="shared" si="17"/>
        <v>3 Tage</v>
      </c>
      <c r="F316" s="6">
        <v>760</v>
      </c>
      <c r="G316" s="4" t="str">
        <f t="shared" si="16"/>
        <v>Führungsfortbildung</v>
      </c>
      <c r="H316" s="4" t="s">
        <v>11</v>
      </c>
    </row>
    <row r="317" spans="1:8" x14ac:dyDescent="0.2">
      <c r="A317" s="4" t="str">
        <f>"01.460/001/2025"</f>
        <v>01.460/001/2025</v>
      </c>
      <c r="B317" s="4" t="str">
        <f>"Selbstcoaching für Führungskräfte"</f>
        <v>Selbstcoaching für Führungskräfte</v>
      </c>
      <c r="C317" s="5">
        <v>45677</v>
      </c>
      <c r="D317" s="5">
        <v>45713</v>
      </c>
      <c r="E317" s="4" t="str">
        <f>"2x2 Tage"</f>
        <v>2x2 Tage</v>
      </c>
      <c r="F317" s="6">
        <v>990</v>
      </c>
      <c r="G317" s="4"/>
      <c r="H317" s="4" t="s">
        <v>11</v>
      </c>
    </row>
    <row r="318" spans="1:8" x14ac:dyDescent="0.2">
      <c r="A318" s="4" t="str">
        <f>"01.460/001 a/2025"</f>
        <v>01.460/001 a/2025</v>
      </c>
      <c r="B318" s="4" t="str">
        <f>"Selbstcoaching für Führungskräfte"</f>
        <v>Selbstcoaching für Führungskräfte</v>
      </c>
      <c r="C318" s="5">
        <v>45677</v>
      </c>
      <c r="D318" s="5">
        <v>45678</v>
      </c>
      <c r="E318" s="4"/>
      <c r="F318" s="6" t="s">
        <v>11</v>
      </c>
      <c r="G318" s="4" t="str">
        <f t="shared" ref="G318:G323" si="18">"Führungsfortbildung"</f>
        <v>Führungsfortbildung</v>
      </c>
      <c r="H318" s="4" t="s">
        <v>11</v>
      </c>
    </row>
    <row r="319" spans="1:8" x14ac:dyDescent="0.2">
      <c r="A319" s="4" t="str">
        <f>"01.460/001 b/2025"</f>
        <v>01.460/001 b/2025</v>
      </c>
      <c r="B319" s="4" t="str">
        <f>"Selbstcoaching für Führungskräfte"</f>
        <v>Selbstcoaching für Führungskräfte</v>
      </c>
      <c r="C319" s="5">
        <v>45712</v>
      </c>
      <c r="D319" s="5">
        <v>45713</v>
      </c>
      <c r="E319" s="4"/>
      <c r="F319" s="6" t="s">
        <v>11</v>
      </c>
      <c r="G319" s="4" t="str">
        <f t="shared" si="18"/>
        <v>Führungsfortbildung</v>
      </c>
      <c r="H319" s="4" t="s">
        <v>11</v>
      </c>
    </row>
    <row r="320" spans="1:8" x14ac:dyDescent="0.2">
      <c r="A320" s="4" t="str">
        <f>"01.470/001/2025"</f>
        <v>01.470/001/2025</v>
      </c>
      <c r="B320" s="4" t="str">
        <f>"Erfolgskonzepte aus dem Spitzensport effektiv nutzen"</f>
        <v>Erfolgskonzepte aus dem Spitzensport effektiv nutzen</v>
      </c>
      <c r="C320" s="5">
        <v>45693</v>
      </c>
      <c r="D320" s="5">
        <v>45694</v>
      </c>
      <c r="E320" s="4" t="str">
        <f>"2 Tage"</f>
        <v>2 Tage</v>
      </c>
      <c r="F320" s="6">
        <v>430</v>
      </c>
      <c r="G320" s="4" t="str">
        <f t="shared" si="18"/>
        <v>Führungsfortbildung</v>
      </c>
      <c r="H320" s="4" t="s">
        <v>11</v>
      </c>
    </row>
    <row r="321" spans="1:8" x14ac:dyDescent="0.2">
      <c r="A321" s="4" t="str">
        <f>"01.470/002/2025"</f>
        <v>01.470/002/2025</v>
      </c>
      <c r="B321" s="4" t="str">
        <f>"Erfolgskonzepte aus dem Spitzensport effektiv nutzen "</f>
        <v xml:space="preserve">Erfolgskonzepte aus dem Spitzensport effektiv nutzen </v>
      </c>
      <c r="C321" s="5">
        <v>45967</v>
      </c>
      <c r="D321" s="5">
        <v>45968</v>
      </c>
      <c r="E321" s="4" t="str">
        <f>"2 Tage"</f>
        <v>2 Tage</v>
      </c>
      <c r="F321" s="6">
        <v>430</v>
      </c>
      <c r="G321" s="4" t="str">
        <f t="shared" si="18"/>
        <v>Führungsfortbildung</v>
      </c>
      <c r="H321" s="4" t="s">
        <v>11</v>
      </c>
    </row>
    <row r="322" spans="1:8" x14ac:dyDescent="0.2">
      <c r="A322" s="4" t="str">
        <f>"01.480/001/2025"</f>
        <v>01.480/001/2025</v>
      </c>
      <c r="B322" s="4" t="str">
        <f>"Führen, fördern, optimieren: Potenziale von Mitarbeiterinnen und Mitarbeitern erkennen und nachhaltig sichern"</f>
        <v>Führen, fördern, optimieren: Potenziale von Mitarbeiterinnen und Mitarbeitern erkennen und nachhaltig sichern</v>
      </c>
      <c r="C322" s="5">
        <v>45908</v>
      </c>
      <c r="D322" s="5">
        <v>45909</v>
      </c>
      <c r="E322" s="4" t="str">
        <f>"2 Tage"</f>
        <v>2 Tage</v>
      </c>
      <c r="F322" s="6">
        <v>490</v>
      </c>
      <c r="G322" s="4" t="str">
        <f t="shared" si="18"/>
        <v>Führungsfortbildung</v>
      </c>
      <c r="H322" s="4" t="s">
        <v>11</v>
      </c>
    </row>
    <row r="323" spans="1:8" x14ac:dyDescent="0.2">
      <c r="A323" s="4" t="str">
        <f>"01.485/001/2025"</f>
        <v>01.485/001/2025</v>
      </c>
      <c r="B323" s="4" t="str">
        <f>"Der/die Vorgesetzte als Coach"</f>
        <v>Der/die Vorgesetzte als Coach</v>
      </c>
      <c r="C323" s="5">
        <v>45945</v>
      </c>
      <c r="D323" s="5">
        <v>45947</v>
      </c>
      <c r="E323" s="4" t="str">
        <f>"3 Tage"</f>
        <v>3 Tage</v>
      </c>
      <c r="F323" s="6">
        <v>760</v>
      </c>
      <c r="G323" s="4" t="str">
        <f t="shared" si="18"/>
        <v>Führungsfortbildung</v>
      </c>
      <c r="H323" s="4" t="s">
        <v>11</v>
      </c>
    </row>
    <row r="324" spans="1:8" x14ac:dyDescent="0.2">
      <c r="A324" s="4" t="str">
        <f>"01.610/001/2025"</f>
        <v>01.610/001/2025</v>
      </c>
      <c r="B324" s="4" t="str">
        <f>"Modulare Qualifizierung für die Beförderung in ein Amt der Laufbahngruppe 2, zweites Einstiegsamt des allgemeinen Verwaltungsdienstes"</f>
        <v>Modulare Qualifizierung für die Beförderung in ein Amt der Laufbahngruppe 2, zweites Einstiegsamt des allgemeinen Verwaltungsdienstes</v>
      </c>
      <c r="C324" s="5">
        <v>45663</v>
      </c>
      <c r="D324" s="5">
        <v>46435</v>
      </c>
      <c r="E324" s="4" t="str">
        <f>"41 Tage"</f>
        <v>41 Tage</v>
      </c>
      <c r="F324" s="6">
        <v>10050</v>
      </c>
      <c r="G324" s="4"/>
      <c r="H324" s="4" t="s">
        <v>11</v>
      </c>
    </row>
    <row r="325" spans="1:8" x14ac:dyDescent="0.2">
      <c r="A325" s="4" t="str">
        <f>"01.610/001 a/2025"</f>
        <v>01.610/001 a/2025</v>
      </c>
      <c r="B325" s="4" t="str">
        <f>"Modulare Qualifizierung für die Beförderung in ein Amt der Laufbahngruppe 2, zweites Einstiegsamt Modul 01.1 - Modulübergreifende Einführung"</f>
        <v>Modulare Qualifizierung für die Beförderung in ein Amt der Laufbahngruppe 2, zweites Einstiegsamt Modul 01.1 - Modulübergreifende Einführung</v>
      </c>
      <c r="C325" s="5">
        <v>45663</v>
      </c>
      <c r="D325" s="5">
        <v>45665</v>
      </c>
      <c r="E325" s="4"/>
      <c r="F325" s="6" t="s">
        <v>11</v>
      </c>
      <c r="G325" s="4" t="str">
        <f t="shared" ref="G325:G340" si="19">"Fachübergreifendes Seminar"</f>
        <v>Fachübergreifendes Seminar</v>
      </c>
      <c r="H325" s="4" t="s">
        <v>11</v>
      </c>
    </row>
    <row r="326" spans="1:8" x14ac:dyDescent="0.2">
      <c r="A326" s="4" t="str">
        <f>"01.610/001 b/2025"</f>
        <v>01.610/001 b/2025</v>
      </c>
      <c r="B326" s="4" t="str">
        <f>"Modulare Qualifizierung für die Beförderung in ein Amt der Laufbahngruppe 2, zweites Einstiegsamt Modul 3.1 - Rollenwechsel verstehen und gestalten"</f>
        <v>Modulare Qualifizierung für die Beförderung in ein Amt der Laufbahngruppe 2, zweites Einstiegsamt Modul 3.1 - Rollenwechsel verstehen und gestalten</v>
      </c>
      <c r="C326" s="5">
        <v>45693</v>
      </c>
      <c r="D326" s="5">
        <v>45695</v>
      </c>
      <c r="E326" s="4"/>
      <c r="F326" s="6" t="s">
        <v>11</v>
      </c>
      <c r="G326" s="4" t="str">
        <f t="shared" si="19"/>
        <v>Fachübergreifendes Seminar</v>
      </c>
      <c r="H326" s="4" t="s">
        <v>11</v>
      </c>
    </row>
    <row r="327" spans="1:8" x14ac:dyDescent="0.2">
      <c r="A327" s="4" t="str">
        <f>"01.610/001 c/2025"</f>
        <v>01.610/001 c/2025</v>
      </c>
      <c r="B327" s="4" t="str">
        <f>"Modulare Qualifizierung für die Beförderung in ein Amt der Laufbahngruppe 2, zweites Einstiegsamt Modul 1.1 - Zivilrecht"</f>
        <v>Modulare Qualifizierung für die Beförderung in ein Amt der Laufbahngruppe 2, zweites Einstiegsamt Modul 1.1 - Zivilrecht</v>
      </c>
      <c r="C327" s="5">
        <v>45706</v>
      </c>
      <c r="D327" s="5">
        <v>45707</v>
      </c>
      <c r="E327" s="4"/>
      <c r="F327" s="6" t="s">
        <v>11</v>
      </c>
      <c r="G327" s="4" t="str">
        <f t="shared" si="19"/>
        <v>Fachübergreifendes Seminar</v>
      </c>
      <c r="H327" s="4" t="s">
        <v>11</v>
      </c>
    </row>
    <row r="328" spans="1:8" x14ac:dyDescent="0.2">
      <c r="A328" s="4" t="str">
        <f>"01.610/001 d/2025"</f>
        <v>01.610/001 d/2025</v>
      </c>
      <c r="B328" s="4" t="str">
        <f>"Modulare Qualifizierung für die Beförderung in ein Amt der Laufbahngruppe 2, zweites Einstiegsamt Modul 3.5 - Gesprächs- und Verhandlungsführung"</f>
        <v>Modulare Qualifizierung für die Beförderung in ein Amt der Laufbahngruppe 2, zweites Einstiegsamt Modul 3.5 - Gesprächs- und Verhandlungsführung</v>
      </c>
      <c r="C328" s="5">
        <v>45727</v>
      </c>
      <c r="D328" s="5">
        <v>45728</v>
      </c>
      <c r="E328" s="4"/>
      <c r="F328" s="6" t="s">
        <v>11</v>
      </c>
      <c r="G328" s="4" t="str">
        <f t="shared" si="19"/>
        <v>Fachübergreifendes Seminar</v>
      </c>
      <c r="H328" s="4" t="s">
        <v>11</v>
      </c>
    </row>
    <row r="329" spans="1:8" x14ac:dyDescent="0.2">
      <c r="A329" s="4" t="str">
        <f>"01.610/001 e/2025"</f>
        <v>01.610/001 e/2025</v>
      </c>
      <c r="B329" s="4" t="str">
        <f>"Modulare Qualifizierung für die Beförderung in ein Amt der Laufbahngruppe 2, zweites Einstiegsamt Modul 3.2 - Sozialer Wandel und Verwaltung"</f>
        <v>Modulare Qualifizierung für die Beförderung in ein Amt der Laufbahngruppe 2, zweites Einstiegsamt Modul 3.2 - Sozialer Wandel und Verwaltung</v>
      </c>
      <c r="C329" s="5">
        <v>45750</v>
      </c>
      <c r="D329" s="5">
        <v>45751</v>
      </c>
      <c r="E329" s="4"/>
      <c r="F329" s="6" t="s">
        <v>11</v>
      </c>
      <c r="G329" s="4" t="str">
        <f t="shared" si="19"/>
        <v>Fachübergreifendes Seminar</v>
      </c>
      <c r="H329" s="4" t="s">
        <v>11</v>
      </c>
    </row>
    <row r="330" spans="1:8" x14ac:dyDescent="0.2">
      <c r="A330" s="4" t="str">
        <f>"01.610/001 f/2025"</f>
        <v>01.610/001 f/2025</v>
      </c>
      <c r="B330" s="4" t="str">
        <f>"Modulare Qualifizierung für die Beförderung in ein Amt der Laufbahngruppe 2, zweites Einstiegsamt Modul 3.3. - Interkulturelle Kompetenz"</f>
        <v>Modulare Qualifizierung für die Beförderung in ein Amt der Laufbahngruppe 2, zweites Einstiegsamt Modul 3.3. - Interkulturelle Kompetenz</v>
      </c>
      <c r="C330" s="5">
        <v>45775</v>
      </c>
      <c r="D330" s="5">
        <v>45776</v>
      </c>
      <c r="E330" s="4"/>
      <c r="F330" s="6" t="s">
        <v>11</v>
      </c>
      <c r="G330" s="4" t="str">
        <f t="shared" si="19"/>
        <v>Fachübergreifendes Seminar</v>
      </c>
      <c r="H330" s="4" t="s">
        <v>11</v>
      </c>
    </row>
    <row r="331" spans="1:8" x14ac:dyDescent="0.2">
      <c r="A331" s="4" t="str">
        <f>"01.610/001 g/2025"</f>
        <v>01.610/001 g/2025</v>
      </c>
      <c r="B331" s="4" t="str">
        <f>"Modulare Qualifizierung für die Beförderung in ein Amt der Laufbahngruppe 2, zweites Einstiegsamt Modul 2.1 - Strategische Planung und Steuerung"</f>
        <v>Modulare Qualifizierung für die Beförderung in ein Amt der Laufbahngruppe 2, zweites Einstiegsamt Modul 2.1 - Strategische Planung und Steuerung</v>
      </c>
      <c r="C331" s="5">
        <v>45785</v>
      </c>
      <c r="D331" s="5">
        <v>45786</v>
      </c>
      <c r="E331" s="4"/>
      <c r="F331" s="6" t="s">
        <v>11</v>
      </c>
      <c r="G331" s="4" t="str">
        <f t="shared" si="19"/>
        <v>Fachübergreifendes Seminar</v>
      </c>
      <c r="H331" s="4" t="s">
        <v>11</v>
      </c>
    </row>
    <row r="332" spans="1:8" x14ac:dyDescent="0.2">
      <c r="A332" s="4" t="str">
        <f>"01.610/001 h/2025"</f>
        <v>01.610/001 h/2025</v>
      </c>
      <c r="B332" s="4" t="str">
        <f>"Modulare Qualifizierung für die Beförderung in ein Amt der Laufbahngruppe 2, zweites Einstiegsamt Modul 4.1 - Prozesse gestalten "</f>
        <v xml:space="preserve">Modulare Qualifizierung für die Beförderung in ein Amt der Laufbahngruppe 2, zweites Einstiegsamt Modul 4.1 - Prozesse gestalten </v>
      </c>
      <c r="C332" s="5">
        <v>45803</v>
      </c>
      <c r="D332" s="5">
        <v>45805</v>
      </c>
      <c r="E332" s="4"/>
      <c r="F332" s="6" t="s">
        <v>11</v>
      </c>
      <c r="G332" s="4" t="str">
        <f t="shared" si="19"/>
        <v>Fachübergreifendes Seminar</v>
      </c>
      <c r="H332" s="4" t="s">
        <v>11</v>
      </c>
    </row>
    <row r="333" spans="1:8" x14ac:dyDescent="0.2">
      <c r="A333" s="4" t="str">
        <f>"01.610/001 i/2025"</f>
        <v>01.610/001 i/2025</v>
      </c>
      <c r="B333" s="4" t="str">
        <f>"Modulare Qualifizierung für die Beförderung in ein Amt der Laufbahngruppe 2, zweites Einstiegsamt Modul 2.2 - Operative Planung und Steuerung"</f>
        <v>Modulare Qualifizierung für die Beförderung in ein Amt der Laufbahngruppe 2, zweites Einstiegsamt Modul 2.2 - Operative Planung und Steuerung</v>
      </c>
      <c r="C333" s="5">
        <v>45818</v>
      </c>
      <c r="D333" s="5">
        <v>45819</v>
      </c>
      <c r="E333" s="4"/>
      <c r="F333" s="6" t="s">
        <v>11</v>
      </c>
      <c r="G333" s="4" t="str">
        <f t="shared" si="19"/>
        <v>Fachübergreifendes Seminar</v>
      </c>
      <c r="H333" s="4" t="s">
        <v>11</v>
      </c>
    </row>
    <row r="334" spans="1:8" x14ac:dyDescent="0.2">
      <c r="A334" s="4" t="str">
        <f>"01.610/001 j/2025"</f>
        <v>01.610/001 j/2025</v>
      </c>
      <c r="B334" s="4" t="str">
        <f>"Modulare Qualifizierung für die Beförderung in ein Amt der Laufbahngruppe 2, zweites Einstiegsamt Modul 4.2 - Wissensmanagement"</f>
        <v>Modulare Qualifizierung für die Beförderung in ein Amt der Laufbahngruppe 2, zweites Einstiegsamt Modul 4.2 - Wissensmanagement</v>
      </c>
      <c r="C334" s="5">
        <v>45841</v>
      </c>
      <c r="D334" s="5">
        <v>45842</v>
      </c>
      <c r="E334" s="4"/>
      <c r="F334" s="6" t="s">
        <v>11</v>
      </c>
      <c r="G334" s="4" t="str">
        <f t="shared" si="19"/>
        <v>Fachübergreifendes Seminar</v>
      </c>
      <c r="H334" s="4" t="s">
        <v>11</v>
      </c>
    </row>
    <row r="335" spans="1:8" x14ac:dyDescent="0.2">
      <c r="A335" s="4" t="str">
        <f>"01.610/001 k/2025"</f>
        <v>01.610/001 k/2025</v>
      </c>
      <c r="B335" s="4" t="str">
        <f>"Modulare Qualifizierung für die Beförderung in ein Amt der Laufbahngruppe 2, zweites Einstiegsamt Modul 2.3 - Vergaberecht, Finanzen"</f>
        <v>Modulare Qualifizierung für die Beförderung in ein Amt der Laufbahngruppe 2, zweites Einstiegsamt Modul 2.3 - Vergaberecht, Finanzen</v>
      </c>
      <c r="C335" s="5">
        <v>45852</v>
      </c>
      <c r="D335" s="5">
        <v>45854</v>
      </c>
      <c r="E335" s="4"/>
      <c r="F335" s="6" t="s">
        <v>11</v>
      </c>
      <c r="G335" s="4" t="str">
        <f t="shared" si="19"/>
        <v>Fachübergreifendes Seminar</v>
      </c>
      <c r="H335" s="4" t="s">
        <v>11</v>
      </c>
    </row>
    <row r="336" spans="1:8" x14ac:dyDescent="0.2">
      <c r="A336" s="4" t="str">
        <f>"01.610/001 m/2025"</f>
        <v>01.610/001 m/2025</v>
      </c>
      <c r="B336" s="4" t="str">
        <f>"Modulare Qualifizierung für die Beförderung in ein Amt der Laufbahngruppe 2,zweites Einstiegsamt-Modul 1.2 - Verwaltungs- und Verwaltungsprozessrecht"</f>
        <v>Modulare Qualifizierung für die Beförderung in ein Amt der Laufbahngruppe 2,zweites Einstiegsamt-Modul 1.2 - Verwaltungs- und Verwaltungsprozessrecht</v>
      </c>
      <c r="C336" s="5">
        <v>45936</v>
      </c>
      <c r="D336" s="5">
        <v>45938</v>
      </c>
      <c r="E336" s="4"/>
      <c r="F336" s="6" t="s">
        <v>11</v>
      </c>
      <c r="G336" s="4" t="str">
        <f t="shared" si="19"/>
        <v>Fachübergreifendes Seminar</v>
      </c>
      <c r="H336" s="4" t="s">
        <v>11</v>
      </c>
    </row>
    <row r="337" spans="1:8" x14ac:dyDescent="0.2">
      <c r="A337" s="4" t="str">
        <f>"01.610/001 n/2025"</f>
        <v>01.610/001 n/2025</v>
      </c>
      <c r="B337" s="4" t="str">
        <f>"Modulare Qualifizierung  Modul 1.3 - Juristische Arbeitsweise - Prozesstechnik und Auftritt vor Gericht"</f>
        <v>Modulare Qualifizierung  Modul 1.3 - Juristische Arbeitsweise - Prozesstechnik und Auftritt vor Gericht</v>
      </c>
      <c r="C337" s="5">
        <v>45965</v>
      </c>
      <c r="D337" s="5">
        <v>45966</v>
      </c>
      <c r="E337" s="4"/>
      <c r="F337" s="6" t="s">
        <v>11</v>
      </c>
      <c r="G337" s="4" t="str">
        <f t="shared" si="19"/>
        <v>Fachübergreifendes Seminar</v>
      </c>
      <c r="H337" s="4" t="s">
        <v>11</v>
      </c>
    </row>
    <row r="338" spans="1:8" x14ac:dyDescent="0.2">
      <c r="A338" s="4" t="str">
        <f>"01.610/001 o/2025"</f>
        <v>01.610/001 o/2025</v>
      </c>
      <c r="B338" s="4" t="str">
        <f>"Modulare Qualifizierung für die Beförderung in ein Amt der Laufbahngruppe 2, zweites Einstiegsamt Modul 1.4 - Personal- und Personalvertretungsrecht"</f>
        <v>Modulare Qualifizierung für die Beförderung in ein Amt der Laufbahngruppe 2, zweites Einstiegsamt Modul 1.4 - Personal- und Personalvertretungsrecht</v>
      </c>
      <c r="C338" s="5">
        <v>45985</v>
      </c>
      <c r="D338" s="5">
        <v>45987</v>
      </c>
      <c r="E338" s="4"/>
      <c r="F338" s="6" t="s">
        <v>11</v>
      </c>
      <c r="G338" s="4" t="str">
        <f t="shared" si="19"/>
        <v>Fachübergreifendes Seminar</v>
      </c>
      <c r="H338" s="4" t="s">
        <v>11</v>
      </c>
    </row>
    <row r="339" spans="1:8" x14ac:dyDescent="0.2">
      <c r="A339" s="4" t="str">
        <f>"01.610/001 p/2025"</f>
        <v>01.610/001 p/2025</v>
      </c>
      <c r="B339" s="4" t="str">
        <f>"Modulare Qualifizierung für die Beförderung in ein Amt der Laufbahngruppe 2,zweites Einstiegsamt-Modul 0.2 - Modulübergreifende Abschlussveranstaltung"</f>
        <v>Modulare Qualifizierung für die Beförderung in ein Amt der Laufbahngruppe 2,zweites Einstiegsamt-Modul 0.2 - Modulübergreifende Abschlussveranstaltung</v>
      </c>
      <c r="C339" s="5">
        <v>46007</v>
      </c>
      <c r="D339" s="5">
        <v>46008</v>
      </c>
      <c r="E339" s="4"/>
      <c r="F339" s="6" t="s">
        <v>11</v>
      </c>
      <c r="G339" s="4" t="str">
        <f t="shared" si="19"/>
        <v>Fachübergreifendes Seminar</v>
      </c>
      <c r="H339" s="4" t="s">
        <v>11</v>
      </c>
    </row>
    <row r="340" spans="1:8" x14ac:dyDescent="0.2">
      <c r="A340" s="4" t="str">
        <f>"01.610/001 q/2025"</f>
        <v>01.610/001 q/2025</v>
      </c>
      <c r="B340" s="4" t="str">
        <f>"Modulare Qualifizierung für die Beförderung in ein Amt der Laufbahngruppe 2, zweites Einstiegsamt Follow up  "</f>
        <v xml:space="preserve">Modulare Qualifizierung für die Beförderung in ein Amt der Laufbahngruppe 2, zweites Einstiegsamt Follow up  </v>
      </c>
      <c r="C340" s="5">
        <v>46434</v>
      </c>
      <c r="D340" s="5">
        <v>46435</v>
      </c>
      <c r="E340" s="4"/>
      <c r="F340" s="6" t="s">
        <v>11</v>
      </c>
      <c r="G340" s="4" t="str">
        <f t="shared" si="19"/>
        <v>Fachübergreifendes Seminar</v>
      </c>
      <c r="H340" s="4" t="s">
        <v>11</v>
      </c>
    </row>
    <row r="341" spans="1:8" x14ac:dyDescent="0.2">
      <c r="A341" s="4" t="str">
        <f>"01.610/002/2025"</f>
        <v>01.610/002/2025</v>
      </c>
      <c r="B341" s="4" t="str">
        <f>"Modulare Qualifizierung für die Beförderung in ein Amt der Laufbahngruppe 2, zweites Einstiegsamt des allgemeinen Verwaltungsdienstes"</f>
        <v>Modulare Qualifizierung für die Beförderung in ein Amt der Laufbahngruppe 2, zweites Einstiegsamt des allgemeinen Verwaltungsdienstes</v>
      </c>
      <c r="C341" s="5">
        <v>45810</v>
      </c>
      <c r="D341" s="5">
        <v>46504</v>
      </c>
      <c r="E341" s="4" t="str">
        <f>"41 Tage"</f>
        <v>41 Tage</v>
      </c>
      <c r="F341" s="6">
        <v>10050</v>
      </c>
      <c r="G341" s="4"/>
      <c r="H341" s="4" t="s">
        <v>11</v>
      </c>
    </row>
    <row r="342" spans="1:8" x14ac:dyDescent="0.2">
      <c r="A342" s="4" t="str">
        <f>"01.610/002 a/2025"</f>
        <v>01.610/002 a/2025</v>
      </c>
      <c r="B342" s="4" t="str">
        <f>"Modulare Qualifizierung für die Beförderung in ein Amt der Laufbahngruppe 2, zweites Einstiegsamt Modul 01.1 - Modulübergreifende Einführung"</f>
        <v>Modulare Qualifizierung für die Beförderung in ein Amt der Laufbahngruppe 2, zweites Einstiegsamt Modul 01.1 - Modulübergreifende Einführung</v>
      </c>
      <c r="C342" s="5">
        <v>45810</v>
      </c>
      <c r="D342" s="5">
        <v>45812</v>
      </c>
      <c r="E342" s="4"/>
      <c r="F342" s="6" t="s">
        <v>11</v>
      </c>
      <c r="G342" s="4" t="str">
        <f t="shared" ref="G342:G358" si="20">"Fachübergreifendes Seminar"</f>
        <v>Fachübergreifendes Seminar</v>
      </c>
      <c r="H342" s="4" t="s">
        <v>11</v>
      </c>
    </row>
    <row r="343" spans="1:8" x14ac:dyDescent="0.2">
      <c r="A343" s="4" t="str">
        <f>"01.610/002 b/2025"</f>
        <v>01.610/002 b/2025</v>
      </c>
      <c r="B343" s="4" t="str">
        <f>"Modulare Qualifizierung für die Beförderung in ein Amt der Laufbahngruppe 2, zweites Einstiegsamt Modul 3.1 - Rollenwechsel verstehen und gestalten"</f>
        <v>Modulare Qualifizierung für die Beförderung in ein Amt der Laufbahngruppe 2, zweites Einstiegsamt Modul 3.1 - Rollenwechsel verstehen und gestalten</v>
      </c>
      <c r="C343" s="5">
        <v>45866</v>
      </c>
      <c r="D343" s="5">
        <v>45868</v>
      </c>
      <c r="E343" s="4"/>
      <c r="F343" s="6" t="s">
        <v>11</v>
      </c>
      <c r="G343" s="4" t="str">
        <f t="shared" si="20"/>
        <v>Fachübergreifendes Seminar</v>
      </c>
      <c r="H343" s="4" t="s">
        <v>11</v>
      </c>
    </row>
    <row r="344" spans="1:8" x14ac:dyDescent="0.2">
      <c r="A344" s="4" t="str">
        <f>"01.610/002 c/2025"</f>
        <v>01.610/002 c/2025</v>
      </c>
      <c r="B344" s="4" t="str">
        <f>"Modulare Qualifizierung für die Beförderung in ein Amt der Laufbahngruppe 2, zweites Einstiegsamt Modul 1.1 - Zivilrecht"</f>
        <v>Modulare Qualifizierung für die Beförderung in ein Amt der Laufbahngruppe 2, zweites Einstiegsamt Modul 1.1 - Zivilrecht</v>
      </c>
      <c r="C344" s="5">
        <v>45901</v>
      </c>
      <c r="D344" s="5">
        <v>45902</v>
      </c>
      <c r="E344" s="4"/>
      <c r="F344" s="6" t="s">
        <v>11</v>
      </c>
      <c r="G344" s="4" t="str">
        <f t="shared" si="20"/>
        <v>Fachübergreifendes Seminar</v>
      </c>
      <c r="H344" s="4" t="s">
        <v>11</v>
      </c>
    </row>
    <row r="345" spans="1:8" x14ac:dyDescent="0.2">
      <c r="A345" s="4" t="str">
        <f>"01.610/002 d/2025"</f>
        <v>01.610/002 d/2025</v>
      </c>
      <c r="B345" s="4" t="str">
        <f>"Modulare Qualifizierung für die Beförderung in ein Amt der Laufbahngruppe 2, zweites Einstiegsamt Modul 3.5 - Gesprächs- und Verhandlungsführung"</f>
        <v>Modulare Qualifizierung für die Beförderung in ein Amt der Laufbahngruppe 2, zweites Einstiegsamt Modul 3.5 - Gesprächs- und Verhandlungsführung</v>
      </c>
      <c r="C345" s="5">
        <v>45915</v>
      </c>
      <c r="D345" s="5">
        <v>45916</v>
      </c>
      <c r="E345" s="4"/>
      <c r="F345" s="6" t="s">
        <v>11</v>
      </c>
      <c r="G345" s="4" t="str">
        <f t="shared" si="20"/>
        <v>Fachübergreifendes Seminar</v>
      </c>
      <c r="H345" s="4" t="s">
        <v>11</v>
      </c>
    </row>
    <row r="346" spans="1:8" x14ac:dyDescent="0.2">
      <c r="A346" s="4" t="str">
        <f>"01.610/002 e/2025"</f>
        <v>01.610/002 e/2025</v>
      </c>
      <c r="B346" s="4" t="str">
        <f>"Modulare Qualifizierung für die Beförderung in ein Amt der Laufbahngruppe 2, zweites Einstiegsamt Modul 3.2 - Sozialer Wandel und Verwaltung"</f>
        <v>Modulare Qualifizierung für die Beförderung in ein Amt der Laufbahngruppe 2, zweites Einstiegsamt Modul 3.2 - Sozialer Wandel und Verwaltung</v>
      </c>
      <c r="C346" s="5">
        <v>45922</v>
      </c>
      <c r="D346" s="5">
        <v>45923</v>
      </c>
      <c r="E346" s="4"/>
      <c r="F346" s="6" t="s">
        <v>11</v>
      </c>
      <c r="G346" s="4" t="str">
        <f t="shared" si="20"/>
        <v>Fachübergreifendes Seminar</v>
      </c>
      <c r="H346" s="4" t="s">
        <v>11</v>
      </c>
    </row>
    <row r="347" spans="1:8" x14ac:dyDescent="0.2">
      <c r="A347" s="4" t="str">
        <f>"01.610/002 f/2025"</f>
        <v>01.610/002 f/2025</v>
      </c>
      <c r="B347" s="4" t="str">
        <f>"Modulare Qualifizierung für die Beförderung in ein Amt der Laufbahngruppe 2, zweites Einstiegsamt Modul 3.3. - Interkulturelle Kompetenz"</f>
        <v>Modulare Qualifizierung für die Beförderung in ein Amt der Laufbahngruppe 2, zweites Einstiegsamt Modul 3.3. - Interkulturelle Kompetenz</v>
      </c>
      <c r="C347" s="5">
        <v>45999</v>
      </c>
      <c r="D347" s="5">
        <v>46000</v>
      </c>
      <c r="E347" s="4"/>
      <c r="F347" s="6" t="s">
        <v>11</v>
      </c>
      <c r="G347" s="4" t="str">
        <f t="shared" si="20"/>
        <v>Fachübergreifendes Seminar</v>
      </c>
      <c r="H347" s="4" t="s">
        <v>11</v>
      </c>
    </row>
    <row r="348" spans="1:8" x14ac:dyDescent="0.2">
      <c r="A348" s="4" t="str">
        <f>"01.610/002 g/2025"</f>
        <v>01.610/002 g/2025</v>
      </c>
      <c r="B348" s="4" t="str">
        <f>"Modulare Qualifizierung für die Beförderung in ein Amt der Laufbahngruppe 2, zweites Einstiegsamt Modul 2.1 - Strategische Planung und Steuerung "</f>
        <v xml:space="preserve">Modulare Qualifizierung für die Beförderung in ein Amt der Laufbahngruppe 2, zweites Einstiegsamt Modul 2.1 - Strategische Planung und Steuerung </v>
      </c>
      <c r="C348" s="5">
        <v>45971</v>
      </c>
      <c r="D348" s="5">
        <v>45972</v>
      </c>
      <c r="E348" s="4"/>
      <c r="F348" s="6" t="s">
        <v>11</v>
      </c>
      <c r="G348" s="4" t="str">
        <f t="shared" si="20"/>
        <v>Fachübergreifendes Seminar</v>
      </c>
      <c r="H348" s="4" t="s">
        <v>11</v>
      </c>
    </row>
    <row r="349" spans="1:8" x14ac:dyDescent="0.2">
      <c r="A349" s="4" t="str">
        <f>"01.610/002 h/2025"</f>
        <v>01.610/002 h/2025</v>
      </c>
      <c r="B349" s="4" t="str">
        <f>"Modulare Qualifizierung für die Beförderung in ein Amt der Laufbahngruppe 2, zweites Einstiegsamt Modul 4.1 - Prozesse gestalten "</f>
        <v xml:space="preserve">Modulare Qualifizierung für die Beförderung in ein Amt der Laufbahngruppe 2, zweites Einstiegsamt Modul 4.1 - Prozesse gestalten </v>
      </c>
      <c r="C349" s="5">
        <v>45978</v>
      </c>
      <c r="D349" s="5">
        <v>45980</v>
      </c>
      <c r="E349" s="4"/>
      <c r="F349" s="6" t="s">
        <v>11</v>
      </c>
      <c r="G349" s="4" t="str">
        <f t="shared" si="20"/>
        <v>Fachübergreifendes Seminar</v>
      </c>
      <c r="H349" s="4" t="s">
        <v>11</v>
      </c>
    </row>
    <row r="350" spans="1:8" x14ac:dyDescent="0.2">
      <c r="A350" s="4" t="str">
        <f>"01.610/002 i/2025"</f>
        <v>01.610/002 i/2025</v>
      </c>
      <c r="B350" s="4" t="str">
        <f>"Modulare Qualifizierung für die Beförderung in ein Amt der Laufbahngruppe 2, zweites Einstiegsamt Modul 2.2 - Operative Planung und Steuerung"</f>
        <v>Modulare Qualifizierung für die Beförderung in ein Amt der Laufbahngruppe 2, zweites Einstiegsamt Modul 2.2 - Operative Planung und Steuerung</v>
      </c>
      <c r="C350" s="5">
        <v>45985</v>
      </c>
      <c r="D350" s="5">
        <v>45986</v>
      </c>
      <c r="E350" s="4"/>
      <c r="F350" s="6" t="s">
        <v>11</v>
      </c>
      <c r="G350" s="4" t="str">
        <f t="shared" si="20"/>
        <v>Fachübergreifendes Seminar</v>
      </c>
      <c r="H350" s="4" t="s">
        <v>11</v>
      </c>
    </row>
    <row r="351" spans="1:8" x14ac:dyDescent="0.2">
      <c r="A351" s="4" t="str">
        <f>"01.610/002 j/2025"</f>
        <v>01.610/002 j/2025</v>
      </c>
      <c r="B351" s="4" t="str">
        <f>"Modulare Qualifizierung für die Beförderung in ein Amt der Laufbahngruppe 2, zweites Einstiegsamt Modul 4.2 - Wissensmanagement"</f>
        <v>Modulare Qualifizierung für die Beförderung in ein Amt der Laufbahngruppe 2, zweites Einstiegsamt Modul 4.2 - Wissensmanagement</v>
      </c>
      <c r="C351" s="5">
        <v>45995</v>
      </c>
      <c r="D351" s="5">
        <v>45996</v>
      </c>
      <c r="E351" s="4"/>
      <c r="F351" s="6" t="s">
        <v>11</v>
      </c>
      <c r="G351" s="4" t="str">
        <f t="shared" si="20"/>
        <v>Fachübergreifendes Seminar</v>
      </c>
      <c r="H351" s="4" t="s">
        <v>11</v>
      </c>
    </row>
    <row r="352" spans="1:8" x14ac:dyDescent="0.2">
      <c r="A352" s="4" t="str">
        <f>"01.610/002 k/2025"</f>
        <v>01.610/002 k/2025</v>
      </c>
      <c r="B352" s="4" t="str">
        <f>"Modulare Qualifizierung für die Beförderung in ein Amt der Laufbahngruppe 2, zweites Einstiegsamt Modul 2.3 - Vergaberecht, Finanzen"</f>
        <v>Modulare Qualifizierung für die Beförderung in ein Amt der Laufbahngruppe 2, zweites Einstiegsamt Modul 2.3 - Vergaberecht, Finanzen</v>
      </c>
      <c r="C352" s="5">
        <v>46034</v>
      </c>
      <c r="D352" s="5">
        <v>46036</v>
      </c>
      <c r="E352" s="4"/>
      <c r="F352" s="6" t="s">
        <v>11</v>
      </c>
      <c r="G352" s="4" t="str">
        <f t="shared" si="20"/>
        <v>Fachübergreifendes Seminar</v>
      </c>
      <c r="H352" s="4" t="s">
        <v>11</v>
      </c>
    </row>
    <row r="353" spans="1:8" x14ac:dyDescent="0.2">
      <c r="A353" s="4" t="str">
        <f>"01.610/002 l/2025"</f>
        <v>01.610/002 l/2025</v>
      </c>
      <c r="B353" s="4" t="str">
        <f>"MQ für die Beförderung in ein Amt der LG 2, zweites Einstiegsamt Modul 3.4 - Digitalisierung als Herausforderung für Zusammenarbeit und Führung"</f>
        <v>MQ für die Beförderung in ein Amt der LG 2, zweites Einstiegsamt Modul 3.4 - Digitalisierung als Herausforderung für Zusammenarbeit und Führung</v>
      </c>
      <c r="C353" s="5">
        <v>46043</v>
      </c>
      <c r="D353" s="5">
        <v>46045</v>
      </c>
      <c r="E353" s="4"/>
      <c r="F353" s="6" t="s">
        <v>11</v>
      </c>
      <c r="G353" s="4" t="str">
        <f t="shared" si="20"/>
        <v>Fachübergreifendes Seminar</v>
      </c>
      <c r="H353" s="4" t="s">
        <v>11</v>
      </c>
    </row>
    <row r="354" spans="1:8" x14ac:dyDescent="0.2">
      <c r="A354" s="4" t="str">
        <f>"01.610/002 m/2025"</f>
        <v>01.610/002 m/2025</v>
      </c>
      <c r="B354" s="4" t="str">
        <f>"Modulare Qualifizierung für die Beförderung in ein Amt der Laufbahngruppe 2,zweites Einstiegsamt-Modul 1.2 - Verwaltungs- und Verwaltungsprozessrecht"</f>
        <v>Modulare Qualifizierung für die Beförderung in ein Amt der Laufbahngruppe 2,zweites Einstiegsamt-Modul 1.2 - Verwaltungs- und Verwaltungsprozessrecht</v>
      </c>
      <c r="C354" s="5">
        <v>46048</v>
      </c>
      <c r="D354" s="5">
        <v>46050</v>
      </c>
      <c r="E354" s="4"/>
      <c r="F354" s="6" t="s">
        <v>11</v>
      </c>
      <c r="G354" s="4" t="str">
        <f t="shared" si="20"/>
        <v>Fachübergreifendes Seminar</v>
      </c>
      <c r="H354" s="4" t="s">
        <v>11</v>
      </c>
    </row>
    <row r="355" spans="1:8" x14ac:dyDescent="0.2">
      <c r="A355" s="4" t="str">
        <f>"01.610/002 n/2025"</f>
        <v>01.610/002 n/2025</v>
      </c>
      <c r="B355" s="4" t="str">
        <f>"Modulare Qualifizierung  Modul 1.3 - Juristische Arbeitsweise - Prozesstechnik und Auftritt vor Gericht"</f>
        <v>Modulare Qualifizierung  Modul 1.3 - Juristische Arbeitsweise - Prozesstechnik und Auftritt vor Gericht</v>
      </c>
      <c r="C355" s="5">
        <v>46056</v>
      </c>
      <c r="D355" s="5">
        <v>46057</v>
      </c>
      <c r="E355" s="4"/>
      <c r="F355" s="6" t="s">
        <v>11</v>
      </c>
      <c r="G355" s="4" t="str">
        <f t="shared" si="20"/>
        <v>Fachübergreifendes Seminar</v>
      </c>
      <c r="H355" s="4" t="s">
        <v>11</v>
      </c>
    </row>
    <row r="356" spans="1:8" x14ac:dyDescent="0.2">
      <c r="A356" s="4" t="str">
        <f>"01.610/002 o/2025"</f>
        <v>01.610/002 o/2025</v>
      </c>
      <c r="B356" s="4" t="str">
        <f>"Modulare Qualifizierung für die Beförderung in ein Amt der Laufbahngruppe 2, zweites Einstiegsamt Modul 1.4 - Personal- und Personalvertretungsrecht"</f>
        <v>Modulare Qualifizierung für die Beförderung in ein Amt der Laufbahngruppe 2, zweites Einstiegsamt Modul 1.4 - Personal- und Personalvertretungsrecht</v>
      </c>
      <c r="C356" s="5">
        <v>46063</v>
      </c>
      <c r="D356" s="5">
        <v>46065</v>
      </c>
      <c r="E356" s="4"/>
      <c r="F356" s="6" t="s">
        <v>11</v>
      </c>
      <c r="G356" s="4" t="str">
        <f t="shared" si="20"/>
        <v>Fachübergreifendes Seminar</v>
      </c>
      <c r="H356" s="4" t="s">
        <v>11</v>
      </c>
    </row>
    <row r="357" spans="1:8" x14ac:dyDescent="0.2">
      <c r="A357" s="4" t="str">
        <f>"01.610/002 p/2025"</f>
        <v>01.610/002 p/2025</v>
      </c>
      <c r="B357" s="4" t="str">
        <f>"Modulare Qualifizierung für die Beförderung in ein Amt der Laufbahngruppe 2,zweites Einstiegsamt-Modul 0.2 - Modulübergreifende Abschlussveranstaltung"</f>
        <v>Modulare Qualifizierung für die Beförderung in ein Amt der Laufbahngruppe 2,zweites Einstiegsamt-Modul 0.2 - Modulübergreifende Abschlussveranstaltung</v>
      </c>
      <c r="C357" s="5">
        <v>46086</v>
      </c>
      <c r="D357" s="5">
        <v>46087</v>
      </c>
      <c r="E357" s="4"/>
      <c r="F357" s="6" t="s">
        <v>11</v>
      </c>
      <c r="G357" s="4" t="str">
        <f t="shared" si="20"/>
        <v>Fachübergreifendes Seminar</v>
      </c>
      <c r="H357" s="4" t="s">
        <v>11</v>
      </c>
    </row>
    <row r="358" spans="1:8" x14ac:dyDescent="0.2">
      <c r="A358" s="4" t="str">
        <f>"01.610/002 q/2025"</f>
        <v>01.610/002 q/2025</v>
      </c>
      <c r="B358" s="4" t="str">
        <f>"Modulare Qualifizierung für die Beförderung in ein Amt der Laufbahngruppe 2, zweites Einstiegsamt Follow up  "</f>
        <v xml:space="preserve">Modulare Qualifizierung für die Beförderung in ein Amt der Laufbahngruppe 2, zweites Einstiegsamt Follow up  </v>
      </c>
      <c r="C358" s="5">
        <v>46503</v>
      </c>
      <c r="D358" s="5">
        <v>46504</v>
      </c>
      <c r="E358" s="4"/>
      <c r="F358" s="6" t="s">
        <v>11</v>
      </c>
      <c r="G358" s="4" t="str">
        <f t="shared" si="20"/>
        <v>Fachübergreifendes Seminar</v>
      </c>
      <c r="H358" s="4" t="s">
        <v>11</v>
      </c>
    </row>
    <row r="359" spans="1:8" x14ac:dyDescent="0.2">
      <c r="A359" s="4" t="str">
        <f>"01.610/003/2025"</f>
        <v>01.610/003/2025</v>
      </c>
      <c r="B359" s="4" t="str">
        <f>"Modulare Qualifizierung für die Beförderung in ein Amt der Laufbahngruppe 2, zweites Einstiegsamt des allgemeinen Verwaltungsdienstes "</f>
        <v xml:space="preserve">Modulare Qualifizierung für die Beförderung in ein Amt der Laufbahngruppe 2, zweites Einstiegsamt des allgemeinen Verwaltungsdienstes </v>
      </c>
      <c r="C359" s="5">
        <v>45903</v>
      </c>
      <c r="D359" s="5">
        <v>46717</v>
      </c>
      <c r="E359" s="4" t="str">
        <f>"41 Tage"</f>
        <v>41 Tage</v>
      </c>
      <c r="F359" s="6">
        <v>10050</v>
      </c>
      <c r="G359" s="4"/>
      <c r="H359" s="4" t="s">
        <v>11</v>
      </c>
    </row>
    <row r="360" spans="1:8" x14ac:dyDescent="0.2">
      <c r="A360" s="4" t="str">
        <f>"01.610/003 a/2025"</f>
        <v>01.610/003 a/2025</v>
      </c>
      <c r="B360" s="4" t="str">
        <f>"Modulare Qualifizierung für die Beförderung in ein Amt der Laufbahngruppe 2, zweites Einstiegsamt Modul 01.1 - Modulübergreifende Einführung"</f>
        <v>Modulare Qualifizierung für die Beförderung in ein Amt der Laufbahngruppe 2, zweites Einstiegsamt Modul 01.1 - Modulübergreifende Einführung</v>
      </c>
      <c r="C360" s="5">
        <v>45903</v>
      </c>
      <c r="D360" s="5">
        <v>45905</v>
      </c>
      <c r="E360" s="4"/>
      <c r="F360" s="6" t="s">
        <v>11</v>
      </c>
      <c r="G360" s="4" t="str">
        <f t="shared" ref="G360:G376" si="21">"Fachübergreifendes Seminar"</f>
        <v>Fachübergreifendes Seminar</v>
      </c>
      <c r="H360" s="4" t="s">
        <v>11</v>
      </c>
    </row>
    <row r="361" spans="1:8" x14ac:dyDescent="0.2">
      <c r="A361" s="4" t="str">
        <f>"01.610/003 b/2025"</f>
        <v>01.610/003 b/2025</v>
      </c>
      <c r="B361" s="4" t="str">
        <f>"Modulare Qualifizierung für die Beförderung in ein Amt der Laufbahngruppe 2, zweites Einstiegsamt Modul 3.1 - Rollenwechsel verstehen und gestalten"</f>
        <v>Modulare Qualifizierung für die Beförderung in ein Amt der Laufbahngruppe 2, zweites Einstiegsamt Modul 3.1 - Rollenwechsel verstehen und gestalten</v>
      </c>
      <c r="C361" s="5">
        <v>45922</v>
      </c>
      <c r="D361" s="5">
        <v>45924</v>
      </c>
      <c r="E361" s="4"/>
      <c r="F361" s="6" t="s">
        <v>11</v>
      </c>
      <c r="G361" s="4" t="str">
        <f t="shared" si="21"/>
        <v>Fachübergreifendes Seminar</v>
      </c>
      <c r="H361" s="4" t="s">
        <v>11</v>
      </c>
    </row>
    <row r="362" spans="1:8" x14ac:dyDescent="0.2">
      <c r="A362" s="4" t="str">
        <f>"01.610/003 c/2025"</f>
        <v>01.610/003 c/2025</v>
      </c>
      <c r="B362" s="4" t="str">
        <f>"Modulare Qualifizierung für die Beförderung in ein Amt der Laufbahngruppe 2, zweites Einstiegsamt Modul 1.1 - Zivilrecht"</f>
        <v>Modulare Qualifizierung für die Beförderung in ein Amt der Laufbahngruppe 2, zweites Einstiegsamt Modul 1.1 - Zivilrecht</v>
      </c>
      <c r="C362" s="5">
        <v>45950</v>
      </c>
      <c r="D362" s="5">
        <v>45951</v>
      </c>
      <c r="E362" s="4"/>
      <c r="F362" s="6" t="s">
        <v>11</v>
      </c>
      <c r="G362" s="4" t="str">
        <f t="shared" si="21"/>
        <v>Fachübergreifendes Seminar</v>
      </c>
      <c r="H362" s="4" t="s">
        <v>11</v>
      </c>
    </row>
    <row r="363" spans="1:8" x14ac:dyDescent="0.2">
      <c r="A363" s="4" t="str">
        <f>"01.610/003 d/2025"</f>
        <v>01.610/003 d/2025</v>
      </c>
      <c r="B363" s="4" t="str">
        <f>"Modulare Qualifizierung für die Beförderung in ein Amt der Laufbahngruppe 2, zweites Einstiegsamt Modul 3.5 - Gesprächs- und Verhandlungsführung"</f>
        <v>Modulare Qualifizierung für die Beförderung in ein Amt der Laufbahngruppe 2, zweites Einstiegsamt Modul 3.5 - Gesprächs- und Verhandlungsführung</v>
      </c>
      <c r="C363" s="5">
        <v>45981</v>
      </c>
      <c r="D363" s="5">
        <v>45982</v>
      </c>
      <c r="E363" s="4"/>
      <c r="F363" s="6" t="s">
        <v>11</v>
      </c>
      <c r="G363" s="4" t="str">
        <f t="shared" si="21"/>
        <v>Fachübergreifendes Seminar</v>
      </c>
      <c r="H363" s="4" t="s">
        <v>11</v>
      </c>
    </row>
    <row r="364" spans="1:8" x14ac:dyDescent="0.2">
      <c r="A364" s="4" t="str">
        <f>"01.610/003 e/2025"</f>
        <v>01.610/003 e/2025</v>
      </c>
      <c r="B364" s="4" t="str">
        <f>"Modulare Qualifizierung für die Beförderung in ein Amt der Laufbahngruppe 2, zweites Einstiegsamt Modul 3.2 - Sozialer Wandel und Verwaltung"</f>
        <v>Modulare Qualifizierung für die Beförderung in ein Amt der Laufbahngruppe 2, zweites Einstiegsamt Modul 3.2 - Sozialer Wandel und Verwaltung</v>
      </c>
      <c r="C364" s="5">
        <v>45999</v>
      </c>
      <c r="D364" s="5">
        <v>46000</v>
      </c>
      <c r="E364" s="4"/>
      <c r="F364" s="6" t="s">
        <v>11</v>
      </c>
      <c r="G364" s="4" t="str">
        <f t="shared" si="21"/>
        <v>Fachübergreifendes Seminar</v>
      </c>
      <c r="H364" s="4" t="s">
        <v>11</v>
      </c>
    </row>
    <row r="365" spans="1:8" x14ac:dyDescent="0.2">
      <c r="A365" s="4" t="str">
        <f>"01.610/003 f/2025"</f>
        <v>01.610/003 f/2025</v>
      </c>
      <c r="B365" s="4" t="str">
        <f>"Modulare Qualifizierung für die Beförderung in ein Amt der Laufbahngruppe 2, zweites Einstiegsamt Modul 3.3. - Interkulturelle Kompetenz"</f>
        <v>Modulare Qualifizierung für die Beförderung in ein Amt der Laufbahngruppe 2, zweites Einstiegsamt Modul 3.3. - Interkulturelle Kompetenz</v>
      </c>
      <c r="C365" s="5">
        <v>46034</v>
      </c>
      <c r="D365" s="5">
        <v>46035</v>
      </c>
      <c r="E365" s="4"/>
      <c r="F365" s="6" t="s">
        <v>11</v>
      </c>
      <c r="G365" s="4" t="str">
        <f t="shared" si="21"/>
        <v>Fachübergreifendes Seminar</v>
      </c>
      <c r="H365" s="4" t="s">
        <v>11</v>
      </c>
    </row>
    <row r="366" spans="1:8" x14ac:dyDescent="0.2">
      <c r="A366" s="4" t="str">
        <f>"01.610/003 g/2025"</f>
        <v>01.610/003 g/2025</v>
      </c>
      <c r="B366" s="4" t="str">
        <f>"Modulare Qualifizierung für die Beförderung in ein Amt der Laufbahngruppe 2, zweites Einstiegsamt Modul 2.1 - Strategische Planung und Steuerung"</f>
        <v>Modulare Qualifizierung für die Beförderung in ein Amt der Laufbahngruppe 2, zweites Einstiegsamt Modul 2.1 - Strategische Planung und Steuerung</v>
      </c>
      <c r="C366" s="5">
        <v>46058</v>
      </c>
      <c r="D366" s="5">
        <v>46059</v>
      </c>
      <c r="E366" s="4"/>
      <c r="F366" s="6" t="s">
        <v>11</v>
      </c>
      <c r="G366" s="4" t="str">
        <f t="shared" si="21"/>
        <v>Fachübergreifendes Seminar</v>
      </c>
      <c r="H366" s="4" t="s">
        <v>11</v>
      </c>
    </row>
    <row r="367" spans="1:8" x14ac:dyDescent="0.2">
      <c r="A367" s="4" t="str">
        <f>"01.610/003 h/2025"</f>
        <v>01.610/003 h/2025</v>
      </c>
      <c r="B367" s="4" t="str">
        <f>"Modulare Qualifizierung für die Beförderung in ein Amt der Laufbahngruppe 2, zweites Einstiegsamt Modul 4.1 - Prozesse gestalten "</f>
        <v xml:space="preserve">Modulare Qualifizierung für die Beförderung in ein Amt der Laufbahngruppe 2, zweites Einstiegsamt Modul 4.1 - Prozesse gestalten </v>
      </c>
      <c r="C367" s="5">
        <v>46076</v>
      </c>
      <c r="D367" s="5">
        <v>46078</v>
      </c>
      <c r="E367" s="4"/>
      <c r="F367" s="6" t="s">
        <v>11</v>
      </c>
      <c r="G367" s="4" t="str">
        <f t="shared" si="21"/>
        <v>Fachübergreifendes Seminar</v>
      </c>
      <c r="H367" s="4" t="s">
        <v>11</v>
      </c>
    </row>
    <row r="368" spans="1:8" x14ac:dyDescent="0.2">
      <c r="A368" s="4" t="str">
        <f>"01.610/003 i/2025"</f>
        <v>01.610/003 i/2025</v>
      </c>
      <c r="B368" s="4" t="str">
        <f>"Modulare Qualifizierung für die Beförderung in ein Amt der Laufbahngruppe 2, zweites Einstiegsamt Modul 2.2 - Operative Planung und Steuerung"</f>
        <v>Modulare Qualifizierung für die Beförderung in ein Amt der Laufbahngruppe 2, zweites Einstiegsamt Modul 2.2 - Operative Planung und Steuerung</v>
      </c>
      <c r="C368" s="5">
        <v>46104</v>
      </c>
      <c r="D368" s="5">
        <v>46105</v>
      </c>
      <c r="E368" s="4"/>
      <c r="F368" s="6" t="s">
        <v>11</v>
      </c>
      <c r="G368" s="4" t="str">
        <f t="shared" si="21"/>
        <v>Fachübergreifendes Seminar</v>
      </c>
      <c r="H368" s="4" t="s">
        <v>11</v>
      </c>
    </row>
    <row r="369" spans="1:8" x14ac:dyDescent="0.2">
      <c r="A369" s="4" t="str">
        <f>"01.610/003 j/2025"</f>
        <v>01.610/003 j/2025</v>
      </c>
      <c r="B369" s="4" t="str">
        <f>"Modulare Qualifizierung für die Beförderung in ein Amt der Laufbahngruppe 2, zweites Einstiegsamt Modul 4.2 - Wissensmanagement"</f>
        <v>Modulare Qualifizierung für die Beförderung in ein Amt der Laufbahngruppe 2, zweites Einstiegsamt Modul 4.2 - Wissensmanagement</v>
      </c>
      <c r="C369" s="5">
        <v>46128</v>
      </c>
      <c r="D369" s="5">
        <v>46129</v>
      </c>
      <c r="E369" s="4"/>
      <c r="F369" s="6" t="s">
        <v>11</v>
      </c>
      <c r="G369" s="4" t="str">
        <f t="shared" si="21"/>
        <v>Fachübergreifendes Seminar</v>
      </c>
      <c r="H369" s="4" t="s">
        <v>11</v>
      </c>
    </row>
    <row r="370" spans="1:8" x14ac:dyDescent="0.2">
      <c r="A370" s="4" t="str">
        <f>"01.610/003 k/2025"</f>
        <v>01.610/003 k/2025</v>
      </c>
      <c r="B370" s="4" t="str">
        <f>"Modulare Qualifizierung für die Beförderung in ein Amt der Laufbahngruppe 2, zweites Einstiegsamt Modul 2.3 - Vergaberecht, Finanzen"</f>
        <v>Modulare Qualifizierung für die Beförderung in ein Amt der Laufbahngruppe 2, zweites Einstiegsamt Modul 2.3 - Vergaberecht, Finanzen</v>
      </c>
      <c r="C370" s="5">
        <v>46146</v>
      </c>
      <c r="D370" s="5">
        <v>46148</v>
      </c>
      <c r="E370" s="4"/>
      <c r="F370" s="6" t="s">
        <v>11</v>
      </c>
      <c r="G370" s="4" t="str">
        <f t="shared" si="21"/>
        <v>Fachübergreifendes Seminar</v>
      </c>
      <c r="H370" s="4" t="s">
        <v>11</v>
      </c>
    </row>
    <row r="371" spans="1:8" x14ac:dyDescent="0.2">
      <c r="A371" s="4" t="str">
        <f>"01.610/003 l/2025"</f>
        <v>01.610/003 l/2025</v>
      </c>
      <c r="B371" s="4" t="str">
        <f>"MQ für die Beförderung in ein Amt der LG 2, zweites Einstiegsamt Modul 3.4 - Digitalisierung als Herausforderung für Zusammenarbeit und Führung"</f>
        <v>MQ für die Beförderung in ein Amt der LG 2, zweites Einstiegsamt Modul 3.4 - Digitalisierung als Herausforderung für Zusammenarbeit und Führung</v>
      </c>
      <c r="C371" s="5">
        <v>46182</v>
      </c>
      <c r="D371" s="5">
        <v>46184</v>
      </c>
      <c r="E371" s="4"/>
      <c r="F371" s="6" t="s">
        <v>11</v>
      </c>
      <c r="G371" s="4" t="str">
        <f t="shared" si="21"/>
        <v>Fachübergreifendes Seminar</v>
      </c>
      <c r="H371" s="4" t="s">
        <v>11</v>
      </c>
    </row>
    <row r="372" spans="1:8" x14ac:dyDescent="0.2">
      <c r="A372" s="4" t="str">
        <f>"01.610/003 m/2025"</f>
        <v>01.610/003 m/2025</v>
      </c>
      <c r="B372" s="4" t="str">
        <f>"Modulare Qualifizierung für die Beförderung in ein Amt der Laufbahngruppe 2,zweites Einstiegsamt-Modul 1.2 - Verwaltungs- und Verwaltungsprozessrecht"</f>
        <v>Modulare Qualifizierung für die Beförderung in ein Amt der Laufbahngruppe 2,zweites Einstiegsamt-Modul 1.2 - Verwaltungs- und Verwaltungsprozessrecht</v>
      </c>
      <c r="C372" s="5">
        <v>46211</v>
      </c>
      <c r="D372" s="5">
        <v>46213</v>
      </c>
      <c r="E372" s="4"/>
      <c r="F372" s="6" t="s">
        <v>11</v>
      </c>
      <c r="G372" s="4" t="str">
        <f t="shared" si="21"/>
        <v>Fachübergreifendes Seminar</v>
      </c>
      <c r="H372" s="4" t="s">
        <v>11</v>
      </c>
    </row>
    <row r="373" spans="1:8" x14ac:dyDescent="0.2">
      <c r="A373" s="4" t="str">
        <f>"01.610/003 n/2025"</f>
        <v>01.610/003 n/2025</v>
      </c>
      <c r="B373" s="4" t="str">
        <f>"Modulare Qualifizierung  Modul 1.3 - Juristische Arbeitsweise - Prozesstechnik und Auftritt vor Gericht"</f>
        <v>Modulare Qualifizierung  Modul 1.3 - Juristische Arbeitsweise - Prozesstechnik und Auftritt vor Gericht</v>
      </c>
      <c r="C373" s="5">
        <v>46268</v>
      </c>
      <c r="D373" s="5">
        <v>46269</v>
      </c>
      <c r="E373" s="4"/>
      <c r="F373" s="6" t="s">
        <v>11</v>
      </c>
      <c r="G373" s="4" t="str">
        <f t="shared" si="21"/>
        <v>Fachübergreifendes Seminar</v>
      </c>
      <c r="H373" s="4" t="s">
        <v>11</v>
      </c>
    </row>
    <row r="374" spans="1:8" x14ac:dyDescent="0.2">
      <c r="A374" s="4" t="str">
        <f>"01.610/003 o/2025"</f>
        <v>01.610/003 o/2025</v>
      </c>
      <c r="B374" s="4" t="str">
        <f>"Modulare Qualifizierung für die Beförderung in ein Amt der Laufbahngruppe 2, zweites Einstiegsamt Modul 1.4 - Personal- und Personalvertretungsrecht"</f>
        <v>Modulare Qualifizierung für die Beförderung in ein Amt der Laufbahngruppe 2, zweites Einstiegsamt Modul 1.4 - Personal- und Personalvertretungsrecht</v>
      </c>
      <c r="C374" s="5">
        <v>46293</v>
      </c>
      <c r="D374" s="5">
        <v>46295</v>
      </c>
      <c r="E374" s="4"/>
      <c r="F374" s="6" t="s">
        <v>11</v>
      </c>
      <c r="G374" s="4" t="str">
        <f t="shared" si="21"/>
        <v>Fachübergreifendes Seminar</v>
      </c>
      <c r="H374" s="4" t="s">
        <v>11</v>
      </c>
    </row>
    <row r="375" spans="1:8" x14ac:dyDescent="0.2">
      <c r="A375" s="4" t="str">
        <f>"01.610/003 p/2025"</f>
        <v>01.610/003 p/2025</v>
      </c>
      <c r="B375" s="4" t="str">
        <f>"Modulare Qualifizierung für die Beförderung in ein Amt der Laufbahngruppe 2,zweites Einstiegsamt-Modul 0.2 - Modulübergreifende Abschlussveranstaltung"</f>
        <v>Modulare Qualifizierung für die Beförderung in ein Amt der Laufbahngruppe 2,zweites Einstiegsamt-Modul 0.2 - Modulübergreifende Abschlussveranstaltung</v>
      </c>
      <c r="C375" s="5">
        <v>46314</v>
      </c>
      <c r="D375" s="5">
        <v>46315</v>
      </c>
      <c r="E375" s="4"/>
      <c r="F375" s="6" t="s">
        <v>11</v>
      </c>
      <c r="G375" s="4" t="str">
        <f t="shared" si="21"/>
        <v>Fachübergreifendes Seminar</v>
      </c>
      <c r="H375" s="4" t="s">
        <v>11</v>
      </c>
    </row>
    <row r="376" spans="1:8" x14ac:dyDescent="0.2">
      <c r="A376" s="4" t="str">
        <f>"01.610/003 q/2025"</f>
        <v>01.610/003 q/2025</v>
      </c>
      <c r="B376" s="4" t="str">
        <f>"Modulare Qualifizierung für die Beförderung in ein Amt der Laufbahngruppe 2, zweites Einstiegsamt Follow up"</f>
        <v>Modulare Qualifizierung für die Beförderung in ein Amt der Laufbahngruppe 2, zweites Einstiegsamt Follow up</v>
      </c>
      <c r="C376" s="5">
        <v>46716</v>
      </c>
      <c r="D376" s="5">
        <v>46717</v>
      </c>
      <c r="E376" s="4"/>
      <c r="F376" s="6" t="s">
        <v>11</v>
      </c>
      <c r="G376" s="4" t="str">
        <f t="shared" si="21"/>
        <v>Fachübergreifendes Seminar</v>
      </c>
      <c r="H376" s="4" t="s">
        <v>11</v>
      </c>
    </row>
    <row r="377" spans="1:8" x14ac:dyDescent="0.2">
      <c r="A377" s="4" t="str">
        <f>"01.610/004/2025"</f>
        <v>01.610/004/2025</v>
      </c>
      <c r="B377" s="4" t="str">
        <f>"Modulare Qualifizierung für die Beförderung in ein Amt der Laufbahngruppe 2, zweites Einstiegsamt des allgemeinen Verwaltungsdienstes"</f>
        <v>Modulare Qualifizierung für die Beförderung in ein Amt der Laufbahngruppe 2, zweites Einstiegsamt des allgemeinen Verwaltungsdienstes</v>
      </c>
      <c r="C377" s="5">
        <v>45987</v>
      </c>
      <c r="D377" s="5">
        <v>46731</v>
      </c>
      <c r="E377" s="4" t="str">
        <f>"41 Tage"</f>
        <v>41 Tage</v>
      </c>
      <c r="F377" s="6">
        <v>10050</v>
      </c>
      <c r="G377" s="4"/>
      <c r="H377" s="4" t="s">
        <v>11</v>
      </c>
    </row>
    <row r="378" spans="1:8" x14ac:dyDescent="0.2">
      <c r="A378" s="4" t="str">
        <f>"01.610/004 a/2025"</f>
        <v>01.610/004 a/2025</v>
      </c>
      <c r="B378" s="4" t="str">
        <f>"Modulare Qualifizierung für die Beförderung in ein Amt der Laufbahngruppe 2, zweites Einstiegsamt Modul 01.1 - Modulübergreifende Einführung"</f>
        <v>Modulare Qualifizierung für die Beförderung in ein Amt der Laufbahngruppe 2, zweites Einstiegsamt Modul 01.1 - Modulübergreifende Einführung</v>
      </c>
      <c r="C378" s="5">
        <v>45987</v>
      </c>
      <c r="D378" s="5">
        <v>45989</v>
      </c>
      <c r="E378" s="4"/>
      <c r="F378" s="6" t="s">
        <v>11</v>
      </c>
      <c r="G378" s="4" t="str">
        <f t="shared" ref="G378:G410" si="22">"Fachübergreifendes Seminar"</f>
        <v>Fachübergreifendes Seminar</v>
      </c>
      <c r="H378" s="4" t="s">
        <v>11</v>
      </c>
    </row>
    <row r="379" spans="1:8" x14ac:dyDescent="0.2">
      <c r="A379" s="4" t="str">
        <f>"01.610/004 b/2025"</f>
        <v>01.610/004 b/2025</v>
      </c>
      <c r="B379" s="4" t="str">
        <f>"Modulare Qualifizierung für die Beförderung in ein Amt der Laufbahngruppe 2, zweites Einstiegsamt Modul 3.1 - Rollenwechsel verstehen und gestalten"</f>
        <v>Modulare Qualifizierung für die Beförderung in ein Amt der Laufbahngruppe 2, zweites Einstiegsamt Modul 3.1 - Rollenwechsel verstehen und gestalten</v>
      </c>
      <c r="C379" s="5">
        <v>46029</v>
      </c>
      <c r="D379" s="5">
        <v>46031</v>
      </c>
      <c r="E379" s="4"/>
      <c r="F379" s="6" t="s">
        <v>11</v>
      </c>
      <c r="G379" s="4" t="str">
        <f t="shared" si="22"/>
        <v>Fachübergreifendes Seminar</v>
      </c>
      <c r="H379" s="4" t="s">
        <v>11</v>
      </c>
    </row>
    <row r="380" spans="1:8" x14ac:dyDescent="0.2">
      <c r="A380" s="4" t="str">
        <f>"01.610/004 c/2025"</f>
        <v>01.610/004 c/2025</v>
      </c>
      <c r="B380" s="4" t="str">
        <f>"Modulare Qualifizierung für die Beförderung in ein Amt der Laufbahngruppe 2, zweites Einstiegsamt Modul 1.1 - Zivilrecht"</f>
        <v>Modulare Qualifizierung für die Beförderung in ein Amt der Laufbahngruppe 2, zweites Einstiegsamt Modul 1.1 - Zivilrecht</v>
      </c>
      <c r="C380" s="5">
        <v>46044</v>
      </c>
      <c r="D380" s="5">
        <v>46045</v>
      </c>
      <c r="E380" s="4"/>
      <c r="F380" s="6" t="s">
        <v>11</v>
      </c>
      <c r="G380" s="4" t="str">
        <f t="shared" si="22"/>
        <v>Fachübergreifendes Seminar</v>
      </c>
      <c r="H380" s="4" t="s">
        <v>11</v>
      </c>
    </row>
    <row r="381" spans="1:8" x14ac:dyDescent="0.2">
      <c r="A381" s="4" t="str">
        <f>"01.610/004 d/2025"</f>
        <v>01.610/004 d/2025</v>
      </c>
      <c r="B381" s="4" t="str">
        <f>"Modulare Qualifizierung für die Beförderung in ein Amt der Laufbahngruppe 2, zweites Einstiegsamt Modul 3.5 - Gesprächs- und Verhandlungsführung"</f>
        <v>Modulare Qualifizierung für die Beförderung in ein Amt der Laufbahngruppe 2, zweites Einstiegsamt Modul 3.5 - Gesprächs- und Verhandlungsführung</v>
      </c>
      <c r="C381" s="5">
        <v>46072</v>
      </c>
      <c r="D381" s="5">
        <v>46073</v>
      </c>
      <c r="E381" s="4"/>
      <c r="F381" s="6" t="s">
        <v>11</v>
      </c>
      <c r="G381" s="4" t="str">
        <f t="shared" si="22"/>
        <v>Fachübergreifendes Seminar</v>
      </c>
      <c r="H381" s="4" t="s">
        <v>11</v>
      </c>
    </row>
    <row r="382" spans="1:8" x14ac:dyDescent="0.2">
      <c r="A382" s="4" t="str">
        <f>"01.610/004 e/2025"</f>
        <v>01.610/004 e/2025</v>
      </c>
      <c r="B382" s="4" t="str">
        <f>"Modulare Qualifizierung für die Beförderung in ein Amt der Laufbahngruppe 2, zweites Einstiegsamt Modul 3.2 - Sozialer Wandel und Verwaltung"</f>
        <v>Modulare Qualifizierung für die Beförderung in ein Amt der Laufbahngruppe 2, zweites Einstiegsamt Modul 3.2 - Sozialer Wandel und Verwaltung</v>
      </c>
      <c r="C382" s="5">
        <v>46084</v>
      </c>
      <c r="D382" s="5">
        <v>46085</v>
      </c>
      <c r="E382" s="4"/>
      <c r="F382" s="6" t="s">
        <v>11</v>
      </c>
      <c r="G382" s="4" t="str">
        <f t="shared" si="22"/>
        <v>Fachübergreifendes Seminar</v>
      </c>
      <c r="H382" s="4" t="s">
        <v>11</v>
      </c>
    </row>
    <row r="383" spans="1:8" x14ac:dyDescent="0.2">
      <c r="A383" s="4" t="str">
        <f>"01.610/004 f/2025"</f>
        <v>01.610/004 f/2025</v>
      </c>
      <c r="B383" s="4" t="str">
        <f>"Modulare Qualifizierung für die Beförderung in ein Amt der Laufbahngruppe 2, zweites Einstiegsamt Modul 3.3. - Interkulturelle Kompetenz"</f>
        <v>Modulare Qualifizierung für die Beförderung in ein Amt der Laufbahngruppe 2, zweites Einstiegsamt Modul 3.3. - Interkulturelle Kompetenz</v>
      </c>
      <c r="C383" s="5">
        <v>46104</v>
      </c>
      <c r="D383" s="5">
        <v>46105</v>
      </c>
      <c r="E383" s="4"/>
      <c r="F383" s="6" t="s">
        <v>11</v>
      </c>
      <c r="G383" s="4" t="str">
        <f t="shared" si="22"/>
        <v>Fachübergreifendes Seminar</v>
      </c>
      <c r="H383" s="4" t="s">
        <v>11</v>
      </c>
    </row>
    <row r="384" spans="1:8" x14ac:dyDescent="0.2">
      <c r="A384" s="4" t="str">
        <f>"01.610/004 g/2025"</f>
        <v>01.610/004 g/2025</v>
      </c>
      <c r="B384" s="4" t="str">
        <f>"Modulare Qualifizierung für die Beförderung in ein Amt der Laufbahngruppe 2, zweites Einstiegsamt Modul 2.1 - Strategische Planung und Steuerung"</f>
        <v>Modulare Qualifizierung für die Beförderung in ein Amt der Laufbahngruppe 2, zweites Einstiegsamt Modul 2.1 - Strategische Planung und Steuerung</v>
      </c>
      <c r="C384" s="5">
        <v>46134</v>
      </c>
      <c r="D384" s="5">
        <v>46135</v>
      </c>
      <c r="E384" s="4"/>
      <c r="F384" s="6" t="s">
        <v>11</v>
      </c>
      <c r="G384" s="4" t="str">
        <f t="shared" si="22"/>
        <v>Fachübergreifendes Seminar</v>
      </c>
      <c r="H384" s="4" t="s">
        <v>11</v>
      </c>
    </row>
    <row r="385" spans="1:8" x14ac:dyDescent="0.2">
      <c r="A385" s="4" t="str">
        <f>"01.610/004 h/2025"</f>
        <v>01.610/004 h/2025</v>
      </c>
      <c r="B385" s="4" t="str">
        <f>"Modulare Qualifizierung für die Beförderung in ein Amt der Laufbahngruppe 2, zweites Einstiegsamt Modul 4.1 - Prozesse gestalten "</f>
        <v xml:space="preserve">Modulare Qualifizierung für die Beförderung in ein Amt der Laufbahngruppe 2, zweites Einstiegsamt Modul 4.1 - Prozesse gestalten </v>
      </c>
      <c r="C385" s="5">
        <v>46161</v>
      </c>
      <c r="D385" s="5">
        <v>46163</v>
      </c>
      <c r="E385" s="4"/>
      <c r="F385" s="6" t="s">
        <v>11</v>
      </c>
      <c r="G385" s="4" t="str">
        <f t="shared" si="22"/>
        <v>Fachübergreifendes Seminar</v>
      </c>
      <c r="H385" s="4" t="s">
        <v>11</v>
      </c>
    </row>
    <row r="386" spans="1:8" x14ac:dyDescent="0.2">
      <c r="A386" s="4" t="str">
        <f>"01.610/004 i/2025"</f>
        <v>01.610/004 i/2025</v>
      </c>
      <c r="B386" s="4" t="str">
        <f>"Modulare Qualifizierung für die Beförderung in ein Amt der Laufbahngruppe 2, zweites Einstiegsamt Modul 2.2 - Operative Planung und Steuerung"</f>
        <v>Modulare Qualifizierung für die Beförderung in ein Amt der Laufbahngruppe 2, zweites Einstiegsamt Modul 2.2 - Operative Planung und Steuerung</v>
      </c>
      <c r="C386" s="5">
        <v>46198</v>
      </c>
      <c r="D386" s="5">
        <v>46199</v>
      </c>
      <c r="E386" s="4"/>
      <c r="F386" s="6" t="s">
        <v>11</v>
      </c>
      <c r="G386" s="4" t="str">
        <f t="shared" si="22"/>
        <v>Fachübergreifendes Seminar</v>
      </c>
      <c r="H386" s="4" t="s">
        <v>11</v>
      </c>
    </row>
    <row r="387" spans="1:8" x14ac:dyDescent="0.2">
      <c r="A387" s="4" t="str">
        <f>"01.610/004 j/2025"</f>
        <v>01.610/004 j/2025</v>
      </c>
      <c r="B387" s="4" t="str">
        <f>"Modulare Qualifizierung für die Beförderung in ein Amt der Laufbahngruppe 2, zweites Einstiegsamt Modul 4.2 - Wissensmanagement"</f>
        <v>Modulare Qualifizierung für die Beförderung in ein Amt der Laufbahngruppe 2, zweites Einstiegsamt Modul 4.2 - Wissensmanagement</v>
      </c>
      <c r="C387" s="5">
        <v>46212</v>
      </c>
      <c r="D387" s="5">
        <v>46213</v>
      </c>
      <c r="E387" s="4"/>
      <c r="F387" s="6" t="s">
        <v>11</v>
      </c>
      <c r="G387" s="4" t="str">
        <f t="shared" si="22"/>
        <v>Fachübergreifendes Seminar</v>
      </c>
      <c r="H387" s="4" t="s">
        <v>11</v>
      </c>
    </row>
    <row r="388" spans="1:8" x14ac:dyDescent="0.2">
      <c r="A388" s="4" t="str">
        <f>"01.610/004 k/2025"</f>
        <v>01.610/004 k/2025</v>
      </c>
      <c r="B388" s="4" t="str">
        <f>"Modulare Qualifizierung für die Beförderung in ein Amt der Laufbahngruppe 2, zweites Einstiegsamt Modul 2.3 - Vergaberecht, Finanzen"</f>
        <v>Modulare Qualifizierung für die Beförderung in ein Amt der Laufbahngruppe 2, zweites Einstiegsamt Modul 2.3 - Vergaberecht, Finanzen</v>
      </c>
      <c r="C388" s="5">
        <v>46265</v>
      </c>
      <c r="D388" s="5">
        <v>46267</v>
      </c>
      <c r="E388" s="4"/>
      <c r="F388" s="6" t="s">
        <v>11</v>
      </c>
      <c r="G388" s="4" t="str">
        <f t="shared" si="22"/>
        <v>Fachübergreifendes Seminar</v>
      </c>
      <c r="H388" s="4" t="s">
        <v>11</v>
      </c>
    </row>
    <row r="389" spans="1:8" x14ac:dyDescent="0.2">
      <c r="A389" s="4" t="str">
        <f>"01.610/004 l/2025"</f>
        <v>01.610/004 l/2025</v>
      </c>
      <c r="B389" s="4" t="str">
        <f>"MQ für die Beförderung in ein Amt der LG 2, zweites Einstiegsamt Modul 3.4 - Digitalisierung als Herausforderung für Zusammenarbeit und Führung"</f>
        <v>MQ für die Beförderung in ein Amt der LG 2, zweites Einstiegsamt Modul 3.4 - Digitalisierung als Herausforderung für Zusammenarbeit und Führung</v>
      </c>
      <c r="C389" s="5">
        <v>46273</v>
      </c>
      <c r="D389" s="5">
        <v>46275</v>
      </c>
      <c r="E389" s="4"/>
      <c r="F389" s="6" t="s">
        <v>11</v>
      </c>
      <c r="G389" s="4" t="str">
        <f t="shared" si="22"/>
        <v>Fachübergreifendes Seminar</v>
      </c>
      <c r="H389" s="4" t="s">
        <v>11</v>
      </c>
    </row>
    <row r="390" spans="1:8" x14ac:dyDescent="0.2">
      <c r="A390" s="4" t="str">
        <f>"01.610/004 m/2025"</f>
        <v>01.610/004 m/2025</v>
      </c>
      <c r="B390" s="4" t="str">
        <f>"Modulare Qualifizierung für die Beförderung in ein Amt der Laufbahngruppe 2,zweites Einstiegsamt-Modul 1.2 - Verwaltungs- und Verwaltungsprozessrecht"</f>
        <v>Modulare Qualifizierung für die Beförderung in ein Amt der Laufbahngruppe 2,zweites Einstiegsamt-Modul 1.2 - Verwaltungs- und Verwaltungsprozessrecht</v>
      </c>
      <c r="C390" s="5">
        <v>46288</v>
      </c>
      <c r="D390" s="5">
        <v>46290</v>
      </c>
      <c r="E390" s="4"/>
      <c r="F390" s="6" t="s">
        <v>11</v>
      </c>
      <c r="G390" s="4" t="str">
        <f t="shared" si="22"/>
        <v>Fachübergreifendes Seminar</v>
      </c>
      <c r="H390" s="4" t="s">
        <v>11</v>
      </c>
    </row>
    <row r="391" spans="1:8" x14ac:dyDescent="0.2">
      <c r="A391" s="4" t="str">
        <f>"01.610/004 n/2025"</f>
        <v>01.610/004 n/2025</v>
      </c>
      <c r="B391" s="4" t="str">
        <f>"Modulare Qualifizierung  Modul 1.3 - Juristische Arbeitsweise - Prozesstechnik und Auftritt vor Gericht"</f>
        <v>Modulare Qualifizierung  Modul 1.3 - Juristische Arbeitsweise - Prozesstechnik und Auftritt vor Gericht</v>
      </c>
      <c r="C391" s="5">
        <v>46310</v>
      </c>
      <c r="D391" s="5">
        <v>46311</v>
      </c>
      <c r="E391" s="4"/>
      <c r="F391" s="6" t="s">
        <v>11</v>
      </c>
      <c r="G391" s="4" t="str">
        <f t="shared" si="22"/>
        <v>Fachübergreifendes Seminar</v>
      </c>
      <c r="H391" s="4" t="s">
        <v>11</v>
      </c>
    </row>
    <row r="392" spans="1:8" x14ac:dyDescent="0.2">
      <c r="A392" s="4" t="str">
        <f>"01.610/004 o/2025"</f>
        <v>01.610/004 o/2025</v>
      </c>
      <c r="B392" s="4" t="str">
        <f>"Modulare Qualifizierung für die Beförderung in ein Amt der Laufbahngruppe 2, zweites Einstiegsamt Modul 1.4 - Personal- und Personalvertretungsrecht"</f>
        <v>Modulare Qualifizierung für die Beförderung in ein Amt der Laufbahngruppe 2, zweites Einstiegsamt Modul 1.4 - Personal- und Personalvertretungsrecht</v>
      </c>
      <c r="C392" s="5">
        <v>46328</v>
      </c>
      <c r="D392" s="5">
        <v>46330</v>
      </c>
      <c r="E392" s="4"/>
      <c r="F392" s="6" t="s">
        <v>11</v>
      </c>
      <c r="G392" s="4" t="str">
        <f t="shared" si="22"/>
        <v>Fachübergreifendes Seminar</v>
      </c>
      <c r="H392" s="4" t="s">
        <v>11</v>
      </c>
    </row>
    <row r="393" spans="1:8" x14ac:dyDescent="0.2">
      <c r="A393" s="4" t="str">
        <f>"01.610/004 p/2025"</f>
        <v>01.610/004 p/2025</v>
      </c>
      <c r="B393" s="4" t="str">
        <f>"Modulare Qualifizierung für die Beförderung in ein Amt der Laufbahngruppe 2,zweites Einstiegsamt-Modul 0.2 - Modulübergreifende Abschlussveranstaltung"</f>
        <v>Modulare Qualifizierung für die Beförderung in ein Amt der Laufbahngruppe 2,zweites Einstiegsamt-Modul 0.2 - Modulübergreifende Abschlussveranstaltung</v>
      </c>
      <c r="C393" s="5">
        <v>46364</v>
      </c>
      <c r="D393" s="5">
        <v>46365</v>
      </c>
      <c r="E393" s="4"/>
      <c r="F393" s="6" t="s">
        <v>11</v>
      </c>
      <c r="G393" s="4" t="str">
        <f t="shared" si="22"/>
        <v>Fachübergreifendes Seminar</v>
      </c>
      <c r="H393" s="4" t="s">
        <v>11</v>
      </c>
    </row>
    <row r="394" spans="1:8" x14ac:dyDescent="0.2">
      <c r="A394" s="4" t="str">
        <f>"01.610/004 q/2025"</f>
        <v>01.610/004 q/2025</v>
      </c>
      <c r="B394" s="4" t="str">
        <f>"Modulare Qualifizierung für die Beförderung in ein Amt der Laufbahngruppe 2, zweites Einstiegsamt Follow up  "</f>
        <v xml:space="preserve">Modulare Qualifizierung für die Beförderung in ein Amt der Laufbahngruppe 2, zweites Einstiegsamt Follow up  </v>
      </c>
      <c r="C394" s="5">
        <v>46730</v>
      </c>
      <c r="D394" s="5">
        <v>46731</v>
      </c>
      <c r="E394" s="4"/>
      <c r="F394" s="6" t="s">
        <v>11</v>
      </c>
      <c r="G394" s="4" t="str">
        <f t="shared" si="22"/>
        <v>Fachübergreifendes Seminar</v>
      </c>
      <c r="H394" s="4" t="s">
        <v>11</v>
      </c>
    </row>
    <row r="395" spans="1:8" x14ac:dyDescent="0.2">
      <c r="A395" s="4" t="str">
        <f>"02.110/001/2025"</f>
        <v>02.110/001/2025</v>
      </c>
      <c r="B395" s="4" t="str">
        <f>"Betriebliches Gesundheitsmanagement (BGM) - Einführung "</f>
        <v xml:space="preserve">Betriebliches Gesundheitsmanagement (BGM) - Einführung </v>
      </c>
      <c r="C395" s="5">
        <v>45677</v>
      </c>
      <c r="D395" s="5">
        <v>45679</v>
      </c>
      <c r="E395" s="4" t="str">
        <f>"3 Tage"</f>
        <v>3 Tage</v>
      </c>
      <c r="F395" s="6">
        <v>760</v>
      </c>
      <c r="G395" s="4" t="str">
        <f t="shared" si="22"/>
        <v>Fachübergreifendes Seminar</v>
      </c>
      <c r="H395" s="4" t="s">
        <v>11</v>
      </c>
    </row>
    <row r="396" spans="1:8" x14ac:dyDescent="0.2">
      <c r="A396" s="4" t="str">
        <f>"02.112/001/2025"</f>
        <v>02.112/001/2025</v>
      </c>
      <c r="B396" s="4" t="str">
        <f>"Wie etabliere ich BGM dauerhaft in meiner Organisation?"</f>
        <v>Wie etabliere ich BGM dauerhaft in meiner Organisation?</v>
      </c>
      <c r="C396" s="5">
        <v>45810</v>
      </c>
      <c r="D396" s="5">
        <v>45811</v>
      </c>
      <c r="E396" s="4" t="str">
        <f>"2 Tage"</f>
        <v>2 Tage</v>
      </c>
      <c r="F396" s="6">
        <v>490</v>
      </c>
      <c r="G396" s="4" t="str">
        <f t="shared" si="22"/>
        <v>Fachübergreifendes Seminar</v>
      </c>
      <c r="H396" s="4" t="s">
        <v>11</v>
      </c>
    </row>
    <row r="397" spans="1:8" x14ac:dyDescent="0.2">
      <c r="A397" s="4" t="str">
        <f>"02.114/001/2025"</f>
        <v>02.114/001/2025</v>
      </c>
      <c r="B397" s="4" t="str">
        <f>"Betriebliches Eingliederungsmanagement"</f>
        <v>Betriebliches Eingliederungsmanagement</v>
      </c>
      <c r="C397" s="5">
        <v>45792</v>
      </c>
      <c r="D397" s="5">
        <v>45793</v>
      </c>
      <c r="E397" s="4" t="str">
        <f>"2 Tage"</f>
        <v>2 Tage</v>
      </c>
      <c r="F397" s="6">
        <v>490</v>
      </c>
      <c r="G397" s="4" t="str">
        <f t="shared" si="22"/>
        <v>Fachübergreifendes Seminar</v>
      </c>
      <c r="H397" s="4" t="s">
        <v>11</v>
      </c>
    </row>
    <row r="398" spans="1:8" x14ac:dyDescent="0.2">
      <c r="A398" s="4" t="str">
        <f>"02.116/001/2025"</f>
        <v>02.116/001/2025</v>
      </c>
      <c r="B398" s="4" t="str">
        <f>"Rückkehrgespräche im Betrieblichen Eingliederungsmanagement führen"</f>
        <v>Rückkehrgespräche im Betrieblichen Eingliederungsmanagement führen</v>
      </c>
      <c r="C398" s="5">
        <v>45670</v>
      </c>
      <c r="D398" s="5">
        <v>45671</v>
      </c>
      <c r="E398" s="4" t="str">
        <f>"2 Tage"</f>
        <v>2 Tage</v>
      </c>
      <c r="F398" s="6">
        <v>490</v>
      </c>
      <c r="G398" s="4" t="str">
        <f t="shared" si="22"/>
        <v>Fachübergreifendes Seminar</v>
      </c>
      <c r="H398" s="4" t="s">
        <v>11</v>
      </c>
    </row>
    <row r="399" spans="1:8" x14ac:dyDescent="0.2">
      <c r="A399" s="4" t="str">
        <f>"02.118/001/2025"</f>
        <v>02.118/001/2025</v>
      </c>
      <c r="B399" s="4" t="str">
        <f>"Reflexion - meine Arbeit im BEM-Team optimieren"</f>
        <v>Reflexion - meine Arbeit im BEM-Team optimieren</v>
      </c>
      <c r="C399" s="5">
        <v>45859</v>
      </c>
      <c r="D399" s="5">
        <v>45859</v>
      </c>
      <c r="E399" s="4" t="str">
        <f>"1 Tag"</f>
        <v>1 Tag</v>
      </c>
      <c r="F399" s="6">
        <v>220</v>
      </c>
      <c r="G399" s="4" t="str">
        <f t="shared" si="22"/>
        <v>Fachübergreifendes Seminar</v>
      </c>
      <c r="H399" s="4" t="s">
        <v>11</v>
      </c>
    </row>
    <row r="400" spans="1:8" x14ac:dyDescent="0.2">
      <c r="A400" s="4" t="str">
        <f>"02.120/001/2025"</f>
        <v>02.120/001/2025</v>
      </c>
      <c r="B400" s="4" t="str">
        <f>"Aus der Praxis für die Praxis: Betriebliche Gesundheitsförderung"</f>
        <v>Aus der Praxis für die Praxis: Betriebliche Gesundheitsförderung</v>
      </c>
      <c r="C400" s="5">
        <v>45701</v>
      </c>
      <c r="D400" s="5">
        <v>45702</v>
      </c>
      <c r="E400" s="4" t="str">
        <f>"2 Tage"</f>
        <v>2 Tage</v>
      </c>
      <c r="F400" s="6">
        <v>760</v>
      </c>
      <c r="G400" s="4" t="str">
        <f t="shared" si="22"/>
        <v>Fachübergreifendes Seminar</v>
      </c>
      <c r="H400" s="4" t="s">
        <v>11</v>
      </c>
    </row>
    <row r="401" spans="1:8" x14ac:dyDescent="0.2">
      <c r="A401" s="4" t="str">
        <f>"02.122/001/2025"</f>
        <v>02.122/001/2025</v>
      </c>
      <c r="B401" s="4" t="str">
        <f>"Keine Angst vor der Gefährdungsbeurteilung psychischer Belastungen, kompakt"</f>
        <v>Keine Angst vor der Gefährdungsbeurteilung psychischer Belastungen, kompakt</v>
      </c>
      <c r="C401" s="5">
        <v>45953</v>
      </c>
      <c r="D401" s="5">
        <v>45953</v>
      </c>
      <c r="E401" s="4" t="str">
        <f>"1 Tag"</f>
        <v>1 Tag</v>
      </c>
      <c r="F401" s="6">
        <v>290</v>
      </c>
      <c r="G401" s="4" t="str">
        <f t="shared" si="22"/>
        <v>Fachübergreifendes Seminar</v>
      </c>
      <c r="H401" s="4" t="s">
        <v>11</v>
      </c>
    </row>
    <row r="402" spans="1:8" x14ac:dyDescent="0.2">
      <c r="A402" s="4" t="str">
        <f>"02.140/001/2025"</f>
        <v>02.140/001/2025</v>
      </c>
      <c r="B402" s="4" t="str">
        <f>"Konstruktiver Abbau von (krankheitsbedingten) Fehlzeiten - Das Rückkehrgespräch"</f>
        <v>Konstruktiver Abbau von (krankheitsbedingten) Fehlzeiten - Das Rückkehrgespräch</v>
      </c>
      <c r="C402" s="5">
        <v>45923</v>
      </c>
      <c r="D402" s="5">
        <v>45924</v>
      </c>
      <c r="E402" s="4" t="str">
        <f>"2 Tage"</f>
        <v>2 Tage</v>
      </c>
      <c r="F402" s="6">
        <v>490</v>
      </c>
      <c r="G402" s="4" t="str">
        <f t="shared" si="22"/>
        <v>Fachübergreifendes Seminar</v>
      </c>
      <c r="H402" s="4" t="s">
        <v>11</v>
      </c>
    </row>
    <row r="403" spans="1:8" x14ac:dyDescent="0.2">
      <c r="A403" s="4" t="str">
        <f>"02.142/001/2025"</f>
        <v>02.142/001/2025</v>
      </c>
      <c r="B403" s="4" t="str">
        <f>"Stärkung der Beratungskompetenz für Gesundheitsmanagerinnen und -manager"</f>
        <v>Stärkung der Beratungskompetenz für Gesundheitsmanagerinnen und -manager</v>
      </c>
      <c r="C403" s="5">
        <v>45831</v>
      </c>
      <c r="D403" s="5">
        <v>45832</v>
      </c>
      <c r="E403" s="4" t="str">
        <f>"2 Tage"</f>
        <v>2 Tage</v>
      </c>
      <c r="F403" s="6">
        <v>490</v>
      </c>
      <c r="G403" s="4" t="str">
        <f t="shared" si="22"/>
        <v>Fachübergreifendes Seminar</v>
      </c>
      <c r="H403" s="4" t="s">
        <v>11</v>
      </c>
    </row>
    <row r="404" spans="1:8" x14ac:dyDescent="0.2">
      <c r="A404" s="4" t="str">
        <f>"02.180/001/2025"</f>
        <v>02.180/001/2025</v>
      </c>
      <c r="B404" s="4" t="str">
        <f>"Gestaltung des telefonischen Kontakts mit Menschen in Krisensituationen in der Personenauskunftsstelle - Modul 2"</f>
        <v>Gestaltung des telefonischen Kontakts mit Menschen in Krisensituationen in der Personenauskunftsstelle - Modul 2</v>
      </c>
      <c r="C404" s="5">
        <v>45708</v>
      </c>
      <c r="D404" s="5">
        <v>45708</v>
      </c>
      <c r="E404" s="4" t="str">
        <f>"1 Tag"</f>
        <v>1 Tag</v>
      </c>
      <c r="F404" s="6">
        <v>250</v>
      </c>
      <c r="G404" s="4" t="str">
        <f t="shared" si="22"/>
        <v>Fachübergreifendes Seminar</v>
      </c>
      <c r="H404" s="4" t="s">
        <v>11</v>
      </c>
    </row>
    <row r="405" spans="1:8" x14ac:dyDescent="0.2">
      <c r="A405" s="4" t="str">
        <f>"02.180/002/2025"</f>
        <v>02.180/002/2025</v>
      </c>
      <c r="B405" s="4" t="str">
        <f>"Gestaltung des telefonischen Kontakts mit Menschen in Krisensituationen in der Personenauskunftsstelle - Modul 2"</f>
        <v>Gestaltung des telefonischen Kontakts mit Menschen in Krisensituationen in der Personenauskunftsstelle - Modul 2</v>
      </c>
      <c r="C405" s="5">
        <v>45897</v>
      </c>
      <c r="D405" s="5">
        <v>45897</v>
      </c>
      <c r="E405" s="4" t="str">
        <f>"1 Tag"</f>
        <v>1 Tag</v>
      </c>
      <c r="F405" s="6">
        <v>250</v>
      </c>
      <c r="G405" s="4" t="str">
        <f t="shared" si="22"/>
        <v>Fachübergreifendes Seminar</v>
      </c>
      <c r="H405" s="4" t="s">
        <v>11</v>
      </c>
    </row>
    <row r="406" spans="1:8" x14ac:dyDescent="0.2">
      <c r="A406" s="4" t="str">
        <f>"02.210/001/2025"</f>
        <v>02.210/001/2025</v>
      </c>
      <c r="B406" s="4" t="str">
        <f>"Psychische Belastungen erkennen, Arbeitsfähigkeit erhalten"</f>
        <v>Psychische Belastungen erkennen, Arbeitsfähigkeit erhalten</v>
      </c>
      <c r="C406" s="5">
        <v>45862</v>
      </c>
      <c r="D406" s="5">
        <v>45863</v>
      </c>
      <c r="E406" s="4" t="str">
        <f>"2 Tage"</f>
        <v>2 Tage</v>
      </c>
      <c r="F406" s="6">
        <v>490</v>
      </c>
      <c r="G406" s="4" t="str">
        <f t="shared" si="22"/>
        <v>Fachübergreifendes Seminar</v>
      </c>
      <c r="H406" s="4" t="s">
        <v>11</v>
      </c>
    </row>
    <row r="407" spans="1:8" x14ac:dyDescent="0.2">
      <c r="A407" s="4" t="str">
        <f>"02.211/001/2025"</f>
        <v>02.211/001/2025</v>
      </c>
      <c r="B407" s="4" t="str">
        <f>"Mitarbeiterinnen und Mitarbeiter gesund durch Veränderungsprozesse führen"</f>
        <v>Mitarbeiterinnen und Mitarbeiter gesund durch Veränderungsprozesse führen</v>
      </c>
      <c r="C407" s="5">
        <v>45866</v>
      </c>
      <c r="D407" s="5">
        <v>45867</v>
      </c>
      <c r="E407" s="4" t="str">
        <f>"2 Tage"</f>
        <v>2 Tage</v>
      </c>
      <c r="F407" s="6">
        <v>490</v>
      </c>
      <c r="G407" s="4" t="str">
        <f t="shared" si="22"/>
        <v>Fachübergreifendes Seminar</v>
      </c>
      <c r="H407" s="4" t="s">
        <v>11</v>
      </c>
    </row>
    <row r="408" spans="1:8" x14ac:dyDescent="0.2">
      <c r="A408" s="4" t="str">
        <f>"02.215/001/2025"</f>
        <v>02.215/001/2025</v>
      </c>
      <c r="B408" s="4" t="str">
        <f>"Mindful Leadership"</f>
        <v>Mindful Leadership</v>
      </c>
      <c r="C408" s="5">
        <v>45846</v>
      </c>
      <c r="D408" s="5">
        <v>45847</v>
      </c>
      <c r="E408" s="4" t="str">
        <f>"2 Tage"</f>
        <v>2 Tage</v>
      </c>
      <c r="F408" s="6">
        <v>490</v>
      </c>
      <c r="G408" s="4" t="str">
        <f t="shared" si="22"/>
        <v>Fachübergreifendes Seminar</v>
      </c>
      <c r="H408" s="4" t="s">
        <v>11</v>
      </c>
    </row>
    <row r="409" spans="1:8" x14ac:dyDescent="0.2">
      <c r="A409" s="4" t="str">
        <f>"02.216/001/2025"</f>
        <v>02.216/001/2025</v>
      </c>
      <c r="B409" s="4" t="str">
        <f>"Ab jetzt entspannt - auch als Führungskraft - das Gelassenheitstraining für den Arbeitsdschungel"</f>
        <v>Ab jetzt entspannt - auch als Führungskraft - das Gelassenheitstraining für den Arbeitsdschungel</v>
      </c>
      <c r="C409" s="5">
        <v>45791</v>
      </c>
      <c r="D409" s="5">
        <v>45792</v>
      </c>
      <c r="E409" s="4" t="str">
        <f>"2 Tage"</f>
        <v>2 Tage</v>
      </c>
      <c r="F409" s="6">
        <v>490</v>
      </c>
      <c r="G409" s="4" t="str">
        <f t="shared" si="22"/>
        <v>Fachübergreifendes Seminar</v>
      </c>
      <c r="H409" s="4" t="s">
        <v>11</v>
      </c>
    </row>
    <row r="410" spans="1:8" x14ac:dyDescent="0.2">
      <c r="A410" s="4" t="str">
        <f>"02.216/002/2025"</f>
        <v>02.216/002/2025</v>
      </c>
      <c r="B410" s="4" t="str">
        <f>"Ab jetzt entspannt - auch als Führungskraft - das Gelassenheitstraining für den Arbeitsdschungel"</f>
        <v>Ab jetzt entspannt - auch als Führungskraft - das Gelassenheitstraining für den Arbeitsdschungel</v>
      </c>
      <c r="C410" s="5">
        <v>45999</v>
      </c>
      <c r="D410" s="5">
        <v>46000</v>
      </c>
      <c r="E410" s="4" t="str">
        <f>"2 Tage"</f>
        <v>2 Tage</v>
      </c>
      <c r="F410" s="6">
        <v>490</v>
      </c>
      <c r="G410" s="4" t="str">
        <f t="shared" si="22"/>
        <v>Fachübergreifendes Seminar</v>
      </c>
      <c r="H410" s="4" t="s">
        <v>11</v>
      </c>
    </row>
    <row r="411" spans="1:8" x14ac:dyDescent="0.2">
      <c r="A411" s="4" t="str">
        <f>"02.220/001/2025"</f>
        <v>02.220/001/2025</v>
      </c>
      <c r="B411" s="4" t="str">
        <f>"Persönliches Stärkenmanagement - Potenziale erkennen und entfalten"</f>
        <v>Persönliches Stärkenmanagement - Potenziale erkennen und entfalten</v>
      </c>
      <c r="C411" s="5">
        <v>45939</v>
      </c>
      <c r="D411" s="5">
        <v>46160</v>
      </c>
      <c r="E411" s="4" t="str">
        <f>"1x2 Tage, 1x1 Tag"</f>
        <v>1x2 Tage, 1x1 Tag</v>
      </c>
      <c r="F411" s="6">
        <v>710</v>
      </c>
      <c r="G411" s="4"/>
      <c r="H411" s="4" t="s">
        <v>11</v>
      </c>
    </row>
    <row r="412" spans="1:8" x14ac:dyDescent="0.2">
      <c r="A412" s="4" t="str">
        <f>"02.220/001 a/2025"</f>
        <v>02.220/001 a/2025</v>
      </c>
      <c r="B412" s="4" t="str">
        <f>"Persönliches Stärkenmanagement - Potenziale erkennen und entfalten "</f>
        <v xml:space="preserve">Persönliches Stärkenmanagement - Potenziale erkennen und entfalten </v>
      </c>
      <c r="C412" s="5">
        <v>45939</v>
      </c>
      <c r="D412" s="5">
        <v>45940</v>
      </c>
      <c r="E412" s="4"/>
      <c r="F412" s="6" t="s">
        <v>11</v>
      </c>
      <c r="G412" s="4" t="str">
        <f t="shared" ref="G412:G417" si="23">"Fachübergreifendes Seminar"</f>
        <v>Fachübergreifendes Seminar</v>
      </c>
      <c r="H412" s="4" t="s">
        <v>11</v>
      </c>
    </row>
    <row r="413" spans="1:8" x14ac:dyDescent="0.2">
      <c r="A413" s="4" t="str">
        <f>"02.220/001 b/2025"</f>
        <v>02.220/001 b/2025</v>
      </c>
      <c r="B413" s="4" t="str">
        <f>"Persönliches Stärkenmanagement - Potenziale erkennen und entfalten "</f>
        <v xml:space="preserve">Persönliches Stärkenmanagement - Potenziale erkennen und entfalten </v>
      </c>
      <c r="C413" s="5">
        <v>46160</v>
      </c>
      <c r="D413" s="5">
        <v>46160</v>
      </c>
      <c r="E413" s="4"/>
      <c r="F413" s="6" t="s">
        <v>11</v>
      </c>
      <c r="G413" s="4" t="str">
        <f t="shared" si="23"/>
        <v>Fachübergreifendes Seminar</v>
      </c>
      <c r="H413" s="4" t="s">
        <v>11</v>
      </c>
    </row>
    <row r="414" spans="1:8" x14ac:dyDescent="0.2">
      <c r="A414" s="4" t="str">
        <f>"02.226/001/2025"</f>
        <v>02.226/001/2025</v>
      </c>
      <c r="B414" s="4" t="str">
        <f>"Als Führungskraft sicher Handeln in ungewissen Zeiten"</f>
        <v>Als Führungskraft sicher Handeln in ungewissen Zeiten</v>
      </c>
      <c r="C414" s="5">
        <v>45789</v>
      </c>
      <c r="D414" s="5">
        <v>45790</v>
      </c>
      <c r="E414" s="4" t="str">
        <f t="shared" ref="E414:E422" si="24">"2 Tage"</f>
        <v>2 Tage</v>
      </c>
      <c r="F414" s="6">
        <v>490</v>
      </c>
      <c r="G414" s="4" t="str">
        <f t="shared" si="23"/>
        <v>Fachübergreifendes Seminar</v>
      </c>
      <c r="H414" s="4" t="s">
        <v>11</v>
      </c>
    </row>
    <row r="415" spans="1:8" x14ac:dyDescent="0.2">
      <c r="A415" s="4" t="str">
        <f>"02.228/001/2025"</f>
        <v>02.228/001/2025</v>
      </c>
      <c r="B415" s="4" t="str">
        <f>"Als Führungskraft gelassen und optimal leistungsfähig bleiben"</f>
        <v>Als Führungskraft gelassen und optimal leistungsfähig bleiben</v>
      </c>
      <c r="C415" s="5">
        <v>45985</v>
      </c>
      <c r="D415" s="5">
        <v>45986</v>
      </c>
      <c r="E415" s="4" t="str">
        <f t="shared" si="24"/>
        <v>2 Tage</v>
      </c>
      <c r="F415" s="6">
        <v>490</v>
      </c>
      <c r="G415" s="4" t="str">
        <f t="shared" si="23"/>
        <v>Fachübergreifendes Seminar</v>
      </c>
      <c r="H415" s="4" t="s">
        <v>11</v>
      </c>
    </row>
    <row r="416" spans="1:8" x14ac:dyDescent="0.2">
      <c r="A416" s="4" t="str">
        <f>"02.230/001/2025"</f>
        <v>02.230/001/2025</v>
      </c>
      <c r="B416" s="4" t="str">
        <f>"Zu viel Arbeit - zu wenig Personal! Führen in besonderen Belastungssituationen"</f>
        <v>Zu viel Arbeit - zu wenig Personal! Führen in besonderen Belastungssituationen</v>
      </c>
      <c r="C416" s="5">
        <v>45992</v>
      </c>
      <c r="D416" s="5">
        <v>45993</v>
      </c>
      <c r="E416" s="4" t="str">
        <f t="shared" si="24"/>
        <v>2 Tage</v>
      </c>
      <c r="F416" s="6">
        <v>490</v>
      </c>
      <c r="G416" s="4" t="str">
        <f t="shared" si="23"/>
        <v>Fachübergreifendes Seminar</v>
      </c>
      <c r="H416" s="4" t="s">
        <v>11</v>
      </c>
    </row>
    <row r="417" spans="1:8" x14ac:dyDescent="0.2">
      <c r="A417" s="4" t="str">
        <f>"02.232/001/2025"</f>
        <v>02.232/001/2025</v>
      </c>
      <c r="B417" s="4" t="str">
        <f>"Teamgesundheit erhalten"</f>
        <v>Teamgesundheit erhalten</v>
      </c>
      <c r="C417" s="5">
        <v>45846</v>
      </c>
      <c r="D417" s="5">
        <v>45847</v>
      </c>
      <c r="E417" s="4" t="str">
        <f t="shared" si="24"/>
        <v>2 Tage</v>
      </c>
      <c r="F417" s="6">
        <v>490</v>
      </c>
      <c r="G417" s="4" t="str">
        <f t="shared" si="23"/>
        <v>Fachübergreifendes Seminar</v>
      </c>
      <c r="H417" s="4" t="s">
        <v>11</v>
      </c>
    </row>
    <row r="418" spans="1:8" x14ac:dyDescent="0.2">
      <c r="A418" s="4" t="str">
        <f>"02.236/001/2025"</f>
        <v>02.236/001/2025</v>
      </c>
      <c r="B418" s="4" t="str">
        <f>"Do Care - Gesund führen - sich und andere"</f>
        <v>Do Care - Gesund führen - sich und andere</v>
      </c>
      <c r="C418" s="5">
        <v>45993</v>
      </c>
      <c r="D418" s="5">
        <v>45994</v>
      </c>
      <c r="E418" s="4" t="str">
        <f t="shared" si="24"/>
        <v>2 Tage</v>
      </c>
      <c r="F418" s="6">
        <v>560</v>
      </c>
      <c r="G418" s="4"/>
      <c r="H418" s="4" t="s">
        <v>11</v>
      </c>
    </row>
    <row r="419" spans="1:8" x14ac:dyDescent="0.2">
      <c r="A419" s="4" t="str">
        <f>"02.310/001/2025"</f>
        <v>02.310/001/2025</v>
      </c>
      <c r="B419" s="4" t="str">
        <f>"Life Balance"</f>
        <v>Life Balance</v>
      </c>
      <c r="C419" s="5">
        <v>45761</v>
      </c>
      <c r="D419" s="5">
        <v>45762</v>
      </c>
      <c r="E419" s="4" t="str">
        <f t="shared" si="24"/>
        <v>2 Tage</v>
      </c>
      <c r="F419" s="6">
        <v>430</v>
      </c>
      <c r="G419" s="4" t="str">
        <f>"Fachübergreifendes Seminar"</f>
        <v>Fachübergreifendes Seminar</v>
      </c>
      <c r="H419" s="4" t="s">
        <v>11</v>
      </c>
    </row>
    <row r="420" spans="1:8" x14ac:dyDescent="0.2">
      <c r="A420" s="4" t="str">
        <f>"02.310/002/2025"</f>
        <v>02.310/002/2025</v>
      </c>
      <c r="B420" s="4" t="str">
        <f>"Life Balance"</f>
        <v>Life Balance</v>
      </c>
      <c r="C420" s="5">
        <v>45852</v>
      </c>
      <c r="D420" s="5">
        <v>45853</v>
      </c>
      <c r="E420" s="4" t="str">
        <f t="shared" si="24"/>
        <v>2 Tage</v>
      </c>
      <c r="F420" s="6">
        <v>430</v>
      </c>
      <c r="G420" s="4" t="str">
        <f>"Fachübergreifendes Seminar"</f>
        <v>Fachübergreifendes Seminar</v>
      </c>
      <c r="H420" s="4" t="s">
        <v>11</v>
      </c>
    </row>
    <row r="421" spans="1:8" x14ac:dyDescent="0.2">
      <c r="A421" s="4" t="str">
        <f>"02.315/001/2025"</f>
        <v>02.315/001/2025</v>
      </c>
      <c r="B421" s="4" t="str">
        <f>"Risikofaktor Perfektionismus: Gut, besser, perfekt - krank?"</f>
        <v>Risikofaktor Perfektionismus: Gut, besser, perfekt - krank?</v>
      </c>
      <c r="C421" s="5">
        <v>45708</v>
      </c>
      <c r="D421" s="5">
        <v>45709</v>
      </c>
      <c r="E421" s="4" t="str">
        <f t="shared" si="24"/>
        <v>2 Tage</v>
      </c>
      <c r="F421" s="6">
        <v>490</v>
      </c>
      <c r="G421" s="4" t="str">
        <f>"Fachübergreifendes Seminar"</f>
        <v>Fachübergreifendes Seminar</v>
      </c>
      <c r="H421" s="4" t="s">
        <v>11</v>
      </c>
    </row>
    <row r="422" spans="1:8" x14ac:dyDescent="0.2">
      <c r="A422" s="4" t="str">
        <f>"02.315/003/2025"</f>
        <v>02.315/003/2025</v>
      </c>
      <c r="B422" s="4" t="str">
        <f>"Risikofaktor Perfektionismus: Gut, besser, perfekt - krank?"</f>
        <v>Risikofaktor Perfektionismus: Gut, besser, perfekt - krank?</v>
      </c>
      <c r="C422" s="5">
        <v>45992</v>
      </c>
      <c r="D422" s="5">
        <v>45993</v>
      </c>
      <c r="E422" s="4" t="str">
        <f t="shared" si="24"/>
        <v>2 Tage</v>
      </c>
      <c r="F422" s="6">
        <v>490</v>
      </c>
      <c r="G422" s="4" t="str">
        <f>"Fachübergreifendes Seminar"</f>
        <v>Fachübergreifendes Seminar</v>
      </c>
      <c r="H422" s="4" t="s">
        <v>11</v>
      </c>
    </row>
    <row r="423" spans="1:8" x14ac:dyDescent="0.2">
      <c r="A423" s="4" t="str">
        <f>"02.320/001/2025"</f>
        <v>02.320/001/2025</v>
      </c>
      <c r="B423" s="4" t="str">
        <f>"Persönliche Stärken entwickeln"</f>
        <v>Persönliche Stärken entwickeln</v>
      </c>
      <c r="C423" s="5">
        <v>45896</v>
      </c>
      <c r="D423" s="5">
        <v>46136</v>
      </c>
      <c r="E423" s="4" t="str">
        <f>"1x2 Tage, 1x1 Tag"</f>
        <v>1x2 Tage, 1x1 Tag</v>
      </c>
      <c r="F423" s="6">
        <v>710</v>
      </c>
      <c r="G423" s="4"/>
      <c r="H423" s="4" t="s">
        <v>11</v>
      </c>
    </row>
    <row r="424" spans="1:8" x14ac:dyDescent="0.2">
      <c r="A424" s="4" t="str">
        <f>"02.320/001 a/2025"</f>
        <v>02.320/001 a/2025</v>
      </c>
      <c r="B424" s="4" t="str">
        <f>"Persönliche Stärken entwickeln "</f>
        <v xml:space="preserve">Persönliche Stärken entwickeln </v>
      </c>
      <c r="C424" s="5">
        <v>45896</v>
      </c>
      <c r="D424" s="5">
        <v>45897</v>
      </c>
      <c r="E424" s="4"/>
      <c r="F424" s="6" t="s">
        <v>11</v>
      </c>
      <c r="G424" s="4" t="str">
        <f>"Fachübergreifendes Seminar"</f>
        <v>Fachübergreifendes Seminar</v>
      </c>
      <c r="H424" s="4" t="s">
        <v>11</v>
      </c>
    </row>
    <row r="425" spans="1:8" x14ac:dyDescent="0.2">
      <c r="A425" s="4" t="str">
        <f>"02.320/001 b/2025"</f>
        <v>02.320/001 b/2025</v>
      </c>
      <c r="B425" s="4" t="str">
        <f>"Persönliche Stärken entwickeln "</f>
        <v xml:space="preserve">Persönliche Stärken entwickeln </v>
      </c>
      <c r="C425" s="5">
        <v>46136</v>
      </c>
      <c r="D425" s="5">
        <v>46136</v>
      </c>
      <c r="E425" s="4"/>
      <c r="F425" s="6" t="s">
        <v>11</v>
      </c>
      <c r="G425" s="4" t="str">
        <f>"Fachübergreifendes Seminar"</f>
        <v>Fachübergreifendes Seminar</v>
      </c>
      <c r="H425" s="4" t="s">
        <v>11</v>
      </c>
    </row>
    <row r="426" spans="1:8" x14ac:dyDescent="0.2">
      <c r="A426" s="4" t="str">
        <f>"02.320/002/2025"</f>
        <v>02.320/002/2025</v>
      </c>
      <c r="B426" s="4" t="str">
        <f>"Persönliche Stärken entwickeln"</f>
        <v>Persönliche Stärken entwickeln</v>
      </c>
      <c r="C426" s="5">
        <v>45957</v>
      </c>
      <c r="D426" s="5">
        <v>46164</v>
      </c>
      <c r="E426" s="4" t="str">
        <f>"1x2 Tage, 1x1 Tag"</f>
        <v>1x2 Tage, 1x1 Tag</v>
      </c>
      <c r="F426" s="6">
        <v>710</v>
      </c>
      <c r="G426" s="4"/>
      <c r="H426" s="4" t="s">
        <v>11</v>
      </c>
    </row>
    <row r="427" spans="1:8" x14ac:dyDescent="0.2">
      <c r="A427" s="4" t="str">
        <f>"02.320/002 a/2025"</f>
        <v>02.320/002 a/2025</v>
      </c>
      <c r="B427" s="4" t="str">
        <f>"Persönliche Stärken entwickeln "</f>
        <v xml:space="preserve">Persönliche Stärken entwickeln </v>
      </c>
      <c r="C427" s="5">
        <v>45957</v>
      </c>
      <c r="D427" s="5">
        <v>45958</v>
      </c>
      <c r="E427" s="4"/>
      <c r="F427" s="6" t="s">
        <v>11</v>
      </c>
      <c r="G427" s="4" t="str">
        <f t="shared" ref="G427:G490" si="25">"Fachübergreifendes Seminar"</f>
        <v>Fachübergreifendes Seminar</v>
      </c>
      <c r="H427" s="4" t="s">
        <v>11</v>
      </c>
    </row>
    <row r="428" spans="1:8" x14ac:dyDescent="0.2">
      <c r="A428" s="4" t="str">
        <f>"02.320/002 b/2025"</f>
        <v>02.320/002 b/2025</v>
      </c>
      <c r="B428" s="4" t="str">
        <f>"Persönliche Stärken entwickeln "</f>
        <v xml:space="preserve">Persönliche Stärken entwickeln </v>
      </c>
      <c r="C428" s="5">
        <v>46164</v>
      </c>
      <c r="D428" s="5">
        <v>46164</v>
      </c>
      <c r="E428" s="4"/>
      <c r="F428" s="6" t="s">
        <v>11</v>
      </c>
      <c r="G428" s="4" t="str">
        <f t="shared" si="25"/>
        <v>Fachübergreifendes Seminar</v>
      </c>
      <c r="H428" s="4" t="s">
        <v>11</v>
      </c>
    </row>
    <row r="429" spans="1:8" x14ac:dyDescent="0.2">
      <c r="A429" s="4" t="str">
        <f>"02.330/001/2025"</f>
        <v>02.330/001/2025</v>
      </c>
      <c r="B429" s="4" t="str">
        <f>"Stress und Arbeitsbelastung erfolgreich bewältigen"</f>
        <v>Stress und Arbeitsbelastung erfolgreich bewältigen</v>
      </c>
      <c r="C429" s="5">
        <v>45684</v>
      </c>
      <c r="D429" s="5">
        <v>45686</v>
      </c>
      <c r="E429" s="4" t="str">
        <f>"3 Tage"</f>
        <v>3 Tage</v>
      </c>
      <c r="F429" s="6">
        <v>980</v>
      </c>
      <c r="G429" s="4" t="str">
        <f t="shared" si="25"/>
        <v>Fachübergreifendes Seminar</v>
      </c>
      <c r="H429" s="4" t="s">
        <v>11</v>
      </c>
    </row>
    <row r="430" spans="1:8" x14ac:dyDescent="0.2">
      <c r="A430" s="4" t="str">
        <f>"02.335/001/2025"</f>
        <v>02.335/001/2025</v>
      </c>
      <c r="B430" s="4" t="str">
        <f>"Sicher handeln in ungewissen Zeiten"</f>
        <v>Sicher handeln in ungewissen Zeiten</v>
      </c>
      <c r="C430" s="5">
        <v>45666</v>
      </c>
      <c r="D430" s="5">
        <v>45667</v>
      </c>
      <c r="E430" s="4" t="str">
        <f>"2 Tage"</f>
        <v>2 Tage</v>
      </c>
      <c r="F430" s="6">
        <v>490</v>
      </c>
      <c r="G430" s="4" t="str">
        <f t="shared" si="25"/>
        <v>Fachübergreifendes Seminar</v>
      </c>
      <c r="H430" s="4" t="s">
        <v>11</v>
      </c>
    </row>
    <row r="431" spans="1:8" x14ac:dyDescent="0.2">
      <c r="A431" s="4" t="str">
        <f>"02.345/001/2025"</f>
        <v>02.345/001/2025</v>
      </c>
      <c r="B431" s="4" t="str">
        <f>"Mit Arbeitsbelastung, Zeitdruck und Stress umgehen"</f>
        <v>Mit Arbeitsbelastung, Zeitdruck und Stress umgehen</v>
      </c>
      <c r="C431" s="5">
        <v>45686</v>
      </c>
      <c r="D431" s="5">
        <v>45688</v>
      </c>
      <c r="E431" s="4" t="str">
        <f>"3 Tage"</f>
        <v>3 Tage</v>
      </c>
      <c r="F431" s="6">
        <v>760</v>
      </c>
      <c r="G431" s="4" t="str">
        <f t="shared" si="25"/>
        <v>Fachübergreifendes Seminar</v>
      </c>
      <c r="H431" s="4" t="s">
        <v>11</v>
      </c>
    </row>
    <row r="432" spans="1:8" x14ac:dyDescent="0.2">
      <c r="A432" s="4" t="str">
        <f>"02.360/002/2025"</f>
        <v>02.360/002/2025</v>
      </c>
      <c r="B432" s="4" t="str">
        <f>"Aus der Praxis für die Praxis: Gesund und fit bei der Büroarbeit  "</f>
        <v xml:space="preserve">Aus der Praxis für die Praxis: Gesund und fit bei der Büroarbeit  </v>
      </c>
      <c r="C432" s="5">
        <v>45810</v>
      </c>
      <c r="D432" s="5">
        <v>45811</v>
      </c>
      <c r="E432" s="4" t="str">
        <f>"2 Tage"</f>
        <v>2 Tage</v>
      </c>
      <c r="F432" s="6">
        <v>760</v>
      </c>
      <c r="G432" s="4" t="str">
        <f t="shared" si="25"/>
        <v>Fachübergreifendes Seminar</v>
      </c>
      <c r="H432" s="4" t="s">
        <v>11</v>
      </c>
    </row>
    <row r="433" spans="1:8" x14ac:dyDescent="0.2">
      <c r="A433" s="4" t="str">
        <f>"02.360/003/2025"</f>
        <v>02.360/003/2025</v>
      </c>
      <c r="B433" s="4" t="str">
        <f>"Aus der Praxis für die Praxis: Gesund und fit bei der Büroarbeit"</f>
        <v>Aus der Praxis für die Praxis: Gesund und fit bei der Büroarbeit</v>
      </c>
      <c r="C433" s="5">
        <v>45978</v>
      </c>
      <c r="D433" s="5">
        <v>45979</v>
      </c>
      <c r="E433" s="4" t="str">
        <f>"2 Tage"</f>
        <v>2 Tage</v>
      </c>
      <c r="F433" s="6">
        <v>760</v>
      </c>
      <c r="G433" s="4" t="str">
        <f t="shared" si="25"/>
        <v>Fachübergreifendes Seminar</v>
      </c>
      <c r="H433" s="4" t="s">
        <v>11</v>
      </c>
    </row>
    <row r="434" spans="1:8" x14ac:dyDescent="0.2">
      <c r="A434" s="4" t="str">
        <f>"02.365/002/2025"</f>
        <v>02.365/002/2025</v>
      </c>
      <c r="B434" s="4" t="str">
        <f>"Geistige und körperliche Fitness"</f>
        <v>Geistige und körperliche Fitness</v>
      </c>
      <c r="C434" s="5">
        <v>45848</v>
      </c>
      <c r="D434" s="5">
        <v>45849</v>
      </c>
      <c r="E434" s="4" t="str">
        <f>"2 Tage"</f>
        <v>2 Tage</v>
      </c>
      <c r="F434" s="6">
        <v>490</v>
      </c>
      <c r="G434" s="4" t="str">
        <f t="shared" si="25"/>
        <v>Fachübergreifendes Seminar</v>
      </c>
      <c r="H434" s="4" t="s">
        <v>11</v>
      </c>
    </row>
    <row r="435" spans="1:8" x14ac:dyDescent="0.2">
      <c r="A435" s="4" t="str">
        <f>"02.365/003/2025"</f>
        <v>02.365/003/2025</v>
      </c>
      <c r="B435" s="4" t="str">
        <f>"Geistige und körperliche Fitness"</f>
        <v>Geistige und körperliche Fitness</v>
      </c>
      <c r="C435" s="5">
        <v>46006</v>
      </c>
      <c r="D435" s="5">
        <v>46007</v>
      </c>
      <c r="E435" s="4" t="str">
        <f>"2 Tage"</f>
        <v>2 Tage</v>
      </c>
      <c r="F435" s="6">
        <v>490</v>
      </c>
      <c r="G435" s="4" t="str">
        <f t="shared" si="25"/>
        <v>Fachübergreifendes Seminar</v>
      </c>
      <c r="H435" s="4" t="s">
        <v>11</v>
      </c>
    </row>
    <row r="436" spans="1:8" x14ac:dyDescent="0.2">
      <c r="A436" s="4" t="str">
        <f>"02.370/001/2025"</f>
        <v>02.370/001/2025</v>
      </c>
      <c r="B436" s="4" t="str">
        <f>"Ohne Probleme besser sehen - ein Seminar für Mitarbeiter mit Office-Eye-Syndrom"</f>
        <v>Ohne Probleme besser sehen - ein Seminar für Mitarbeiter mit Office-Eye-Syndrom</v>
      </c>
      <c r="C436" s="5">
        <v>45796</v>
      </c>
      <c r="D436" s="5">
        <v>45796</v>
      </c>
      <c r="E436" s="4" t="str">
        <f>"1 Tag"</f>
        <v>1 Tag</v>
      </c>
      <c r="F436" s="6">
        <v>220</v>
      </c>
      <c r="G436" s="4" t="str">
        <f t="shared" si="25"/>
        <v>Fachübergreifendes Seminar</v>
      </c>
      <c r="H436" s="4" t="s">
        <v>11</v>
      </c>
    </row>
    <row r="437" spans="1:8" x14ac:dyDescent="0.2">
      <c r="A437" s="4" t="str">
        <f>"02.410/001/2025"</f>
        <v>02.410/001/2025</v>
      </c>
      <c r="B437" s="4" t="str">
        <f>"Willensstark und motiviert zum Ziel - Selbstmanagement mithilfe des Zürcher Ressourcen-Modells (ZRM) "</f>
        <v xml:space="preserve">Willensstark und motiviert zum Ziel - Selbstmanagement mithilfe des Zürcher Ressourcen-Modells (ZRM) </v>
      </c>
      <c r="C437" s="5">
        <v>45726</v>
      </c>
      <c r="D437" s="5">
        <v>45727</v>
      </c>
      <c r="E437" s="4" t="str">
        <f t="shared" ref="E437:E450" si="26">"2 Tage"</f>
        <v>2 Tage</v>
      </c>
      <c r="F437" s="6">
        <v>430</v>
      </c>
      <c r="G437" s="4" t="str">
        <f t="shared" si="25"/>
        <v>Fachübergreifendes Seminar</v>
      </c>
      <c r="H437" s="4" t="s">
        <v>11</v>
      </c>
    </row>
    <row r="438" spans="1:8" x14ac:dyDescent="0.2">
      <c r="A438" s="4" t="str">
        <f>"02.410/002/2025"</f>
        <v>02.410/002/2025</v>
      </c>
      <c r="B438" s="4" t="str">
        <f>"Willensstark und motiviert zum Ziel - Selbstmanagement mithilfe des Zürcher Ressourcen-Modells (ZRM) "</f>
        <v xml:space="preserve">Willensstark und motiviert zum Ziel - Selbstmanagement mithilfe des Zürcher Ressourcen-Modells (ZRM) </v>
      </c>
      <c r="C438" s="5">
        <v>45979</v>
      </c>
      <c r="D438" s="5">
        <v>45980</v>
      </c>
      <c r="E438" s="4" t="str">
        <f t="shared" si="26"/>
        <v>2 Tage</v>
      </c>
      <c r="F438" s="6">
        <v>430</v>
      </c>
      <c r="G438" s="4" t="str">
        <f t="shared" si="25"/>
        <v>Fachübergreifendes Seminar</v>
      </c>
      <c r="H438" s="4" t="s">
        <v>11</v>
      </c>
    </row>
    <row r="439" spans="1:8" x14ac:dyDescent="0.2">
      <c r="A439" s="4" t="str">
        <f>"02.430/001/2025"</f>
        <v>02.430/001/2025</v>
      </c>
      <c r="B439" s="4" t="str">
        <f>"Workshop: Meine Krafttankstelle auffüllen"</f>
        <v>Workshop: Meine Krafttankstelle auffüllen</v>
      </c>
      <c r="C439" s="5">
        <v>45845</v>
      </c>
      <c r="D439" s="5">
        <v>45846</v>
      </c>
      <c r="E439" s="4" t="str">
        <f t="shared" si="26"/>
        <v>2 Tage</v>
      </c>
      <c r="F439" s="6">
        <v>490</v>
      </c>
      <c r="G439" s="4" t="str">
        <f t="shared" si="25"/>
        <v>Fachübergreifendes Seminar</v>
      </c>
      <c r="H439" s="4" t="s">
        <v>11</v>
      </c>
    </row>
    <row r="440" spans="1:8" x14ac:dyDescent="0.2">
      <c r="A440" s="4" t="str">
        <f>"02.435/001/2025"</f>
        <v>02.435/001/2025</v>
      </c>
      <c r="B440" s="4" t="str">
        <f>"Resilienz - kontinuierlich und nachhaltig an der eigenen inneren Stärke arbeiten"</f>
        <v>Resilienz - kontinuierlich und nachhaltig an der eigenen inneren Stärke arbeiten</v>
      </c>
      <c r="C440" s="5">
        <v>45743</v>
      </c>
      <c r="D440" s="5">
        <v>45744</v>
      </c>
      <c r="E440" s="4" t="str">
        <f t="shared" si="26"/>
        <v>2 Tage</v>
      </c>
      <c r="F440" s="6">
        <v>490</v>
      </c>
      <c r="G440" s="4" t="str">
        <f t="shared" si="25"/>
        <v>Fachübergreifendes Seminar</v>
      </c>
      <c r="H440" s="4" t="s">
        <v>11</v>
      </c>
    </row>
    <row r="441" spans="1:8" x14ac:dyDescent="0.2">
      <c r="A441" s="4" t="str">
        <f>"02.435/002/2025"</f>
        <v>02.435/002/2025</v>
      </c>
      <c r="B441" s="4" t="str">
        <f>"Resilienz - kontinuierlich und nachhaltig an der eigenen inneren Stärke arbeiten"</f>
        <v>Resilienz - kontinuierlich und nachhaltig an der eigenen inneren Stärke arbeiten</v>
      </c>
      <c r="C441" s="5">
        <v>45838</v>
      </c>
      <c r="D441" s="5">
        <v>45839</v>
      </c>
      <c r="E441" s="4" t="str">
        <f t="shared" si="26"/>
        <v>2 Tage</v>
      </c>
      <c r="F441" s="6">
        <v>490</v>
      </c>
      <c r="G441" s="4" t="str">
        <f t="shared" si="25"/>
        <v>Fachübergreifendes Seminar</v>
      </c>
      <c r="H441" s="4" t="s">
        <v>11</v>
      </c>
    </row>
    <row r="442" spans="1:8" x14ac:dyDescent="0.2">
      <c r="A442" s="4" t="str">
        <f>"02.440/001/2025"</f>
        <v>02.440/001/2025</v>
      </c>
      <c r="B442" s="4" t="str">
        <f>"Ab jetzt entspannt - das Gelassenheitstraining für den Arbeitsdschungel"</f>
        <v>Ab jetzt entspannt - das Gelassenheitstraining für den Arbeitsdschungel</v>
      </c>
      <c r="C442" s="5">
        <v>45722</v>
      </c>
      <c r="D442" s="5">
        <v>45723</v>
      </c>
      <c r="E442" s="4" t="str">
        <f t="shared" si="26"/>
        <v>2 Tage</v>
      </c>
      <c r="F442" s="6">
        <v>490</v>
      </c>
      <c r="G442" s="4" t="str">
        <f t="shared" si="25"/>
        <v>Fachübergreifendes Seminar</v>
      </c>
      <c r="H442" s="4" t="s">
        <v>11</v>
      </c>
    </row>
    <row r="443" spans="1:8" x14ac:dyDescent="0.2">
      <c r="A443" s="4" t="str">
        <f>"02.440/002/2025"</f>
        <v>02.440/002/2025</v>
      </c>
      <c r="B443" s="4" t="str">
        <f>"Ab jetzt entspannt - das Gelassenheitstraining für den Arbeitsdschungel"</f>
        <v>Ab jetzt entspannt - das Gelassenheitstraining für den Arbeitsdschungel</v>
      </c>
      <c r="C443" s="5">
        <v>45855</v>
      </c>
      <c r="D443" s="5">
        <v>45856</v>
      </c>
      <c r="E443" s="4" t="str">
        <f t="shared" si="26"/>
        <v>2 Tage</v>
      </c>
      <c r="F443" s="6">
        <v>490</v>
      </c>
      <c r="G443" s="4" t="str">
        <f t="shared" si="25"/>
        <v>Fachübergreifendes Seminar</v>
      </c>
      <c r="H443" s="4" t="s">
        <v>11</v>
      </c>
    </row>
    <row r="444" spans="1:8" x14ac:dyDescent="0.2">
      <c r="A444" s="4" t="str">
        <f>"02.440/004/2025"</f>
        <v>02.440/004/2025</v>
      </c>
      <c r="B444" s="4" t="str">
        <f>"Ab jetzt entspannt - das Gelassenheitstraining für den Arbeitsdschungel"</f>
        <v>Ab jetzt entspannt - das Gelassenheitstraining für den Arbeitsdschungel</v>
      </c>
      <c r="C444" s="5">
        <v>45967</v>
      </c>
      <c r="D444" s="5">
        <v>45968</v>
      </c>
      <c r="E444" s="4" t="str">
        <f t="shared" si="26"/>
        <v>2 Tage</v>
      </c>
      <c r="F444" s="6">
        <v>490</v>
      </c>
      <c r="G444" s="4" t="str">
        <f t="shared" si="25"/>
        <v>Fachübergreifendes Seminar</v>
      </c>
      <c r="H444" s="4" t="s">
        <v>11</v>
      </c>
    </row>
    <row r="445" spans="1:8" x14ac:dyDescent="0.2">
      <c r="A445" s="4" t="str">
        <f>"02.442/001/2025"</f>
        <v>02.442/001/2025</v>
      </c>
      <c r="B445" s="4" t="str">
        <f>"Der Angst begegnen - in Krisenzeiten Gelassenheit im Beruf und Alltag bewahren"</f>
        <v>Der Angst begegnen - in Krisenzeiten Gelassenheit im Beruf und Alltag bewahren</v>
      </c>
      <c r="C445" s="5">
        <v>45950</v>
      </c>
      <c r="D445" s="5">
        <v>45951</v>
      </c>
      <c r="E445" s="4" t="str">
        <f t="shared" si="26"/>
        <v>2 Tage</v>
      </c>
      <c r="F445" s="6">
        <v>490</v>
      </c>
      <c r="G445" s="4" t="str">
        <f t="shared" si="25"/>
        <v>Fachübergreifendes Seminar</v>
      </c>
      <c r="H445" s="4" t="s">
        <v>11</v>
      </c>
    </row>
    <row r="446" spans="1:8" x14ac:dyDescent="0.2">
      <c r="A446" s="4" t="str">
        <f>"02.445/001/2025"</f>
        <v>02.445/001/2025</v>
      </c>
      <c r="B446" s="4" t="str">
        <f>"Gelassen und optimal leistungsfähig bleiben"</f>
        <v>Gelassen und optimal leistungsfähig bleiben</v>
      </c>
      <c r="C446" s="5">
        <v>45820</v>
      </c>
      <c r="D446" s="5">
        <v>45821</v>
      </c>
      <c r="E446" s="4" t="str">
        <f t="shared" si="26"/>
        <v>2 Tage</v>
      </c>
      <c r="F446" s="6">
        <v>490</v>
      </c>
      <c r="G446" s="4" t="str">
        <f t="shared" si="25"/>
        <v>Fachübergreifendes Seminar</v>
      </c>
      <c r="H446" s="4" t="s">
        <v>11</v>
      </c>
    </row>
    <row r="447" spans="1:8" x14ac:dyDescent="0.2">
      <c r="A447" s="4" t="str">
        <f>"02.450/001/2025"</f>
        <v>02.450/001/2025</v>
      </c>
      <c r="B447" s="4" t="str">
        <f>"Mentales Aktivierungstraining - so erhöhen Sie Ihre geistige Leistungsfähigkeit"</f>
        <v>Mentales Aktivierungstraining - so erhöhen Sie Ihre geistige Leistungsfähigkeit</v>
      </c>
      <c r="C447" s="5">
        <v>45747</v>
      </c>
      <c r="D447" s="5">
        <v>45748</v>
      </c>
      <c r="E447" s="4" t="str">
        <f t="shared" si="26"/>
        <v>2 Tage</v>
      </c>
      <c r="F447" s="6">
        <v>490</v>
      </c>
      <c r="G447" s="4" t="str">
        <f t="shared" si="25"/>
        <v>Fachübergreifendes Seminar</v>
      </c>
      <c r="H447" s="4" t="s">
        <v>11</v>
      </c>
    </row>
    <row r="448" spans="1:8" x14ac:dyDescent="0.2">
      <c r="A448" s="4" t="str">
        <f>"02.455/001/2025"</f>
        <v>02.455/001/2025</v>
      </c>
      <c r="B448" s="4" t="str">
        <f>"Achtsamkeit als Quelle eigener Ressourcen - wie mir meine Arbeit besser gelingt"</f>
        <v>Achtsamkeit als Quelle eigener Ressourcen - wie mir meine Arbeit besser gelingt</v>
      </c>
      <c r="C448" s="5">
        <v>45743</v>
      </c>
      <c r="D448" s="5">
        <v>45744</v>
      </c>
      <c r="E448" s="4" t="str">
        <f t="shared" si="26"/>
        <v>2 Tage</v>
      </c>
      <c r="F448" s="6">
        <v>490</v>
      </c>
      <c r="G448" s="4" t="str">
        <f t="shared" si="25"/>
        <v>Fachübergreifendes Seminar</v>
      </c>
      <c r="H448" s="4" t="s">
        <v>11</v>
      </c>
    </row>
    <row r="449" spans="1:8" x14ac:dyDescent="0.2">
      <c r="A449" s="4" t="str">
        <f>"02.455/002/2025"</f>
        <v>02.455/002/2025</v>
      </c>
      <c r="B449" s="4" t="str">
        <f>"Achtsamkeit als Quelle eigener Ressourcen - wie mir meine Arbeit besser gelingt"</f>
        <v>Achtsamkeit als Quelle eigener Ressourcen - wie mir meine Arbeit besser gelingt</v>
      </c>
      <c r="C449" s="5">
        <v>45799</v>
      </c>
      <c r="D449" s="5">
        <v>45800</v>
      </c>
      <c r="E449" s="4" t="str">
        <f t="shared" si="26"/>
        <v>2 Tage</v>
      </c>
      <c r="F449" s="6">
        <v>490</v>
      </c>
      <c r="G449" s="4" t="str">
        <f t="shared" si="25"/>
        <v>Fachübergreifendes Seminar</v>
      </c>
      <c r="H449" s="4" t="s">
        <v>11</v>
      </c>
    </row>
    <row r="450" spans="1:8" x14ac:dyDescent="0.2">
      <c r="A450" s="4" t="str">
        <f>"02.460/001/2025"</f>
        <v>02.460/001/2025</v>
      </c>
      <c r="B450" s="4" t="str">
        <f>"Workshop: Ressource Ich"</f>
        <v>Workshop: Ressource Ich</v>
      </c>
      <c r="C450" s="5">
        <v>45701</v>
      </c>
      <c r="D450" s="5">
        <v>45702</v>
      </c>
      <c r="E450" s="4" t="str">
        <f t="shared" si="26"/>
        <v>2 Tage</v>
      </c>
      <c r="F450" s="6">
        <v>490</v>
      </c>
      <c r="G450" s="4" t="str">
        <f t="shared" si="25"/>
        <v>Fachübergreifendes Seminar</v>
      </c>
      <c r="H450" s="4" t="s">
        <v>11</v>
      </c>
    </row>
    <row r="451" spans="1:8" x14ac:dyDescent="0.2">
      <c r="A451" s="4" t="str">
        <f>"02.465/001/2025"</f>
        <v>02.465/001/2025</v>
      </c>
      <c r="B451" s="4" t="str">
        <f>"Burn-on - Immer Vollgas und kurz vor dem ausbrennen - Burn-on als Form des Dauerstresses begegnen"</f>
        <v>Burn-on - Immer Vollgas und kurz vor dem ausbrennen - Burn-on als Form des Dauerstresses begegnen</v>
      </c>
      <c r="C451" s="5">
        <v>45915</v>
      </c>
      <c r="D451" s="5">
        <v>45916</v>
      </c>
      <c r="E451" s="4" t="s">
        <v>12</v>
      </c>
      <c r="F451" s="6">
        <v>490</v>
      </c>
      <c r="G451" s="4" t="str">
        <f t="shared" si="25"/>
        <v>Fachübergreifendes Seminar</v>
      </c>
      <c r="H451" s="4" t="s">
        <v>11</v>
      </c>
    </row>
    <row r="452" spans="1:8" x14ac:dyDescent="0.2">
      <c r="A452" s="4" t="str">
        <f>"02.470/001/2025"</f>
        <v>02.470/001/2025</v>
      </c>
      <c r="B452" s="4" t="str">
        <f>"Die Macht der Verantwortung - wie man Kontrolle über sein Leben zurückgewinnt und behält"</f>
        <v>Die Macht der Verantwortung - wie man Kontrolle über sein Leben zurückgewinnt und behält</v>
      </c>
      <c r="C452" s="5">
        <v>45750</v>
      </c>
      <c r="D452" s="5">
        <v>45751</v>
      </c>
      <c r="E452" s="4" t="str">
        <f>"2 Tage"</f>
        <v>2 Tage</v>
      </c>
      <c r="F452" s="6">
        <v>450</v>
      </c>
      <c r="G452" s="4" t="str">
        <f t="shared" si="25"/>
        <v>Fachübergreifendes Seminar</v>
      </c>
      <c r="H452" s="4" t="s">
        <v>11</v>
      </c>
    </row>
    <row r="453" spans="1:8" x14ac:dyDescent="0.2">
      <c r="A453" s="4" t="str">
        <f>"02.510/001/2025"</f>
        <v>02.510/001/2025</v>
      </c>
      <c r="B453" s="4" t="str">
        <f>"Mit Werten dem (Berufs-)Leben Richtung geben"</f>
        <v>Mit Werten dem (Berufs-)Leben Richtung geben</v>
      </c>
      <c r="C453" s="5">
        <v>45818</v>
      </c>
      <c r="D453" s="5">
        <v>45819</v>
      </c>
      <c r="E453" s="4" t="str">
        <f>"2 Tage "</f>
        <v xml:space="preserve">2 Tage </v>
      </c>
      <c r="F453" s="6">
        <v>630</v>
      </c>
      <c r="G453" s="4" t="str">
        <f t="shared" si="25"/>
        <v>Fachübergreifendes Seminar</v>
      </c>
      <c r="H453" s="4" t="s">
        <v>11</v>
      </c>
    </row>
    <row r="454" spans="1:8" x14ac:dyDescent="0.2">
      <c r="A454" s="4" t="str">
        <f>"02.520/001/2025"</f>
        <v>02.520/001/2025</v>
      </c>
      <c r="B454" s="4" t="str">
        <f>"Wertschätzender Umgang mit Kolleginnen und Kollegen"</f>
        <v>Wertschätzender Umgang mit Kolleginnen und Kollegen</v>
      </c>
      <c r="C454" s="5">
        <v>45957</v>
      </c>
      <c r="D454" s="5">
        <v>45958</v>
      </c>
      <c r="E454" s="4" t="str">
        <f t="shared" ref="E454:E463" si="27">"2 Tage"</f>
        <v>2 Tage</v>
      </c>
      <c r="F454" s="6">
        <v>490</v>
      </c>
      <c r="G454" s="4" t="str">
        <f t="shared" si="25"/>
        <v>Fachübergreifendes Seminar</v>
      </c>
      <c r="H454" s="4" t="s">
        <v>11</v>
      </c>
    </row>
    <row r="455" spans="1:8" x14ac:dyDescent="0.2">
      <c r="A455" s="4" t="str">
        <f>"02.535/001/2025"</f>
        <v>02.535/001/2025</v>
      </c>
      <c r="B455" s="4" t="str">
        <f>"Der Weg raus aus negativen Gedankenschleifen - gut für Beruf und Alltag"</f>
        <v>Der Weg raus aus negativen Gedankenschleifen - gut für Beruf und Alltag</v>
      </c>
      <c r="C455" s="5">
        <v>45736</v>
      </c>
      <c r="D455" s="5">
        <v>45737</v>
      </c>
      <c r="E455" s="4" t="str">
        <f t="shared" si="27"/>
        <v>2 Tage</v>
      </c>
      <c r="F455" s="6">
        <v>450</v>
      </c>
      <c r="G455" s="4" t="str">
        <f t="shared" si="25"/>
        <v>Fachübergreifendes Seminar</v>
      </c>
      <c r="H455" s="4" t="s">
        <v>11</v>
      </c>
    </row>
    <row r="456" spans="1:8" x14ac:dyDescent="0.2">
      <c r="A456" s="4" t="str">
        <f>"02.535/002/2025"</f>
        <v>02.535/002/2025</v>
      </c>
      <c r="B456" s="4" t="str">
        <f>"Der Weg raus aus negativen Gedankenschleifen - gut für Beruf und Alltag"</f>
        <v>Der Weg raus aus negativen Gedankenschleifen - gut für Beruf und Alltag</v>
      </c>
      <c r="C456" s="5">
        <v>45936</v>
      </c>
      <c r="D456" s="5">
        <v>45937</v>
      </c>
      <c r="E456" s="4" t="str">
        <f t="shared" si="27"/>
        <v>2 Tage</v>
      </c>
      <c r="F456" s="6">
        <v>450</v>
      </c>
      <c r="G456" s="4" t="str">
        <f t="shared" si="25"/>
        <v>Fachübergreifendes Seminar</v>
      </c>
      <c r="H456" s="4" t="s">
        <v>11</v>
      </c>
    </row>
    <row r="457" spans="1:8" x14ac:dyDescent="0.2">
      <c r="A457" s="4" t="str">
        <f>"02.610/001/2025"</f>
        <v>02.610/001/2025</v>
      </c>
      <c r="B457" s="4" t="str">
        <f>"Vereinbarkeit von Beruf und Familie - ein Seminar für Eltern"</f>
        <v>Vereinbarkeit von Beruf und Familie - ein Seminar für Eltern</v>
      </c>
      <c r="C457" s="5">
        <v>45713</v>
      </c>
      <c r="D457" s="5">
        <v>45714</v>
      </c>
      <c r="E457" s="4" t="str">
        <f t="shared" si="27"/>
        <v>2 Tage</v>
      </c>
      <c r="F457" s="6">
        <v>490</v>
      </c>
      <c r="G457" s="4" t="str">
        <f t="shared" si="25"/>
        <v>Fachübergreifendes Seminar</v>
      </c>
      <c r="H457" s="4" t="s">
        <v>11</v>
      </c>
    </row>
    <row r="458" spans="1:8" x14ac:dyDescent="0.2">
      <c r="A458" s="4" t="str">
        <f>"02.610/002/2025"</f>
        <v>02.610/002/2025</v>
      </c>
      <c r="B458" s="4" t="str">
        <f>"Vereinbarkeit von Beruf und Familie - ein Seminar für Eltern"</f>
        <v>Vereinbarkeit von Beruf und Familie - ein Seminar für Eltern</v>
      </c>
      <c r="C458" s="5">
        <v>45911</v>
      </c>
      <c r="D458" s="5">
        <v>45912</v>
      </c>
      <c r="E458" s="4" t="str">
        <f t="shared" si="27"/>
        <v>2 Tage</v>
      </c>
      <c r="F458" s="6">
        <v>490</v>
      </c>
      <c r="G458" s="4" t="str">
        <f t="shared" si="25"/>
        <v>Fachübergreifendes Seminar</v>
      </c>
      <c r="H458" s="4" t="s">
        <v>11</v>
      </c>
    </row>
    <row r="459" spans="1:8" x14ac:dyDescent="0.2">
      <c r="A459" s="4" t="str">
        <f>"02.612/001/2025"</f>
        <v>02.612/001/2025</v>
      </c>
      <c r="B459" s="4" t="str">
        <f>"Gelassen im Beruf durch Gelassenheit in der Familie - innerfamiliäre Kommunikation und die Auswirkungen auf den beruflichen Alltag"</f>
        <v>Gelassen im Beruf durch Gelassenheit in der Familie - innerfamiliäre Kommunikation und die Auswirkungen auf den beruflichen Alltag</v>
      </c>
      <c r="C459" s="5">
        <v>45910</v>
      </c>
      <c r="D459" s="5">
        <v>45911</v>
      </c>
      <c r="E459" s="4" t="str">
        <f t="shared" si="27"/>
        <v>2 Tage</v>
      </c>
      <c r="F459" s="6">
        <v>490</v>
      </c>
      <c r="G459" s="4" t="str">
        <f t="shared" si="25"/>
        <v>Fachübergreifendes Seminar</v>
      </c>
      <c r="H459" s="4" t="s">
        <v>11</v>
      </c>
    </row>
    <row r="460" spans="1:8" x14ac:dyDescent="0.2">
      <c r="A460" s="4" t="str">
        <f>"02.615/001/2025"</f>
        <v>02.615/001/2025</v>
      </c>
      <c r="B460" s="4" t="str">
        <f>"Life Balance Spezial - Balance finden und halten zwischen beruflicher Leistungsfähigkeit, Gesundheit und Sorge für andere"</f>
        <v>Life Balance Spezial - Balance finden und halten zwischen beruflicher Leistungsfähigkeit, Gesundheit und Sorge für andere</v>
      </c>
      <c r="C460" s="5">
        <v>45742</v>
      </c>
      <c r="D460" s="5">
        <v>45743</v>
      </c>
      <c r="E460" s="4" t="str">
        <f t="shared" si="27"/>
        <v>2 Tage</v>
      </c>
      <c r="F460" s="6">
        <v>430</v>
      </c>
      <c r="G460" s="4" t="str">
        <f t="shared" si="25"/>
        <v>Fachübergreifendes Seminar</v>
      </c>
      <c r="H460" s="4" t="s">
        <v>11</v>
      </c>
    </row>
    <row r="461" spans="1:8" x14ac:dyDescent="0.2">
      <c r="A461" s="4" t="str">
        <f>"02.620/001/2025"</f>
        <v>02.620/001/2025</v>
      </c>
      <c r="B461" s="4" t="str">
        <f>"Wachsen statt welken - gesundes Älterwerden im Beruf"</f>
        <v>Wachsen statt welken - gesundes Älterwerden im Beruf</v>
      </c>
      <c r="C461" s="5">
        <v>45848</v>
      </c>
      <c r="D461" s="5">
        <v>45849</v>
      </c>
      <c r="E461" s="4" t="str">
        <f t="shared" si="27"/>
        <v>2 Tage</v>
      </c>
      <c r="F461" s="6">
        <v>490</v>
      </c>
      <c r="G461" s="4" t="str">
        <f t="shared" si="25"/>
        <v>Fachübergreifendes Seminar</v>
      </c>
      <c r="H461" s="4" t="s">
        <v>11</v>
      </c>
    </row>
    <row r="462" spans="1:8" x14ac:dyDescent="0.2">
      <c r="A462" s="4" t="str">
        <f>"02.630/001/2025"</f>
        <v>02.630/001/2025</v>
      </c>
      <c r="B462" s="4" t="str">
        <f>"Workshop: Mit Schwung in die zweite Lebenshälfte"</f>
        <v>Workshop: Mit Schwung in die zweite Lebenshälfte</v>
      </c>
      <c r="C462" s="5">
        <v>45714</v>
      </c>
      <c r="D462" s="5">
        <v>45715</v>
      </c>
      <c r="E462" s="4" t="str">
        <f t="shared" si="27"/>
        <v>2 Tage</v>
      </c>
      <c r="F462" s="6">
        <v>490</v>
      </c>
      <c r="G462" s="4" t="str">
        <f t="shared" si="25"/>
        <v>Fachübergreifendes Seminar</v>
      </c>
      <c r="H462" s="4" t="s">
        <v>11</v>
      </c>
    </row>
    <row r="463" spans="1:8" x14ac:dyDescent="0.2">
      <c r="A463" s="4" t="str">
        <f>"02.630/002/2025"</f>
        <v>02.630/002/2025</v>
      </c>
      <c r="B463" s="4" t="str">
        <f>"Workshop: Mit Schwung in die zweite Lebenshälfte"</f>
        <v>Workshop: Mit Schwung in die zweite Lebenshälfte</v>
      </c>
      <c r="C463" s="5">
        <v>45868</v>
      </c>
      <c r="D463" s="5">
        <v>45869</v>
      </c>
      <c r="E463" s="4" t="str">
        <f t="shared" si="27"/>
        <v>2 Tage</v>
      </c>
      <c r="F463" s="6">
        <v>490</v>
      </c>
      <c r="G463" s="4" t="str">
        <f t="shared" si="25"/>
        <v>Fachübergreifendes Seminar</v>
      </c>
      <c r="H463" s="4" t="s">
        <v>11</v>
      </c>
    </row>
    <row r="464" spans="1:8" x14ac:dyDescent="0.2">
      <c r="A464" s="4" t="str">
        <f>"03.115/001/2025"</f>
        <v>03.115/001/2025</v>
      </c>
      <c r="B464" s="4" t="str">
        <f>"Grundlagen der Kommunikation im beruflichen Alltag"</f>
        <v>Grundlagen der Kommunikation im beruflichen Alltag</v>
      </c>
      <c r="C464" s="5">
        <v>45698</v>
      </c>
      <c r="D464" s="5">
        <v>45700</v>
      </c>
      <c r="E464" s="4" t="str">
        <f>"3 Tage"</f>
        <v>3 Tage</v>
      </c>
      <c r="F464" s="6">
        <v>760</v>
      </c>
      <c r="G464" s="4" t="str">
        <f t="shared" si="25"/>
        <v>Fachübergreifendes Seminar</v>
      </c>
      <c r="H464" s="4" t="s">
        <v>11</v>
      </c>
    </row>
    <row r="465" spans="1:8" x14ac:dyDescent="0.2">
      <c r="A465" s="4" t="str">
        <f>"03.115/004/2025"</f>
        <v>03.115/004/2025</v>
      </c>
      <c r="B465" s="4" t="str">
        <f>"Grundlagen der Kommunikation im beruflichen Alltag"</f>
        <v>Grundlagen der Kommunikation im beruflichen Alltag</v>
      </c>
      <c r="C465" s="5">
        <v>45945</v>
      </c>
      <c r="D465" s="5">
        <v>45947</v>
      </c>
      <c r="E465" s="4" t="str">
        <f>"3 Tage"</f>
        <v>3 Tage</v>
      </c>
      <c r="F465" s="6">
        <v>760</v>
      </c>
      <c r="G465" s="4" t="str">
        <f t="shared" si="25"/>
        <v>Fachübergreifendes Seminar</v>
      </c>
      <c r="H465" s="4" t="s">
        <v>11</v>
      </c>
    </row>
    <row r="466" spans="1:8" x14ac:dyDescent="0.2">
      <c r="A466" s="4" t="str">
        <f>"03.120/001/2025"</f>
        <v>03.120/001/2025</v>
      </c>
      <c r="B466" s="4" t="str">
        <f>"Sicher im Gespräch - Grundlagen der Gesprächsführung"</f>
        <v>Sicher im Gespräch - Grundlagen der Gesprächsführung</v>
      </c>
      <c r="C466" s="5">
        <v>45782</v>
      </c>
      <c r="D466" s="5">
        <v>45783</v>
      </c>
      <c r="E466" s="4" t="str">
        <f t="shared" ref="E466:E492" si="28">"2 Tage"</f>
        <v>2 Tage</v>
      </c>
      <c r="F466" s="6">
        <v>490</v>
      </c>
      <c r="G466" s="4" t="str">
        <f t="shared" si="25"/>
        <v>Fachübergreifendes Seminar</v>
      </c>
      <c r="H466" s="4" t="s">
        <v>11</v>
      </c>
    </row>
    <row r="467" spans="1:8" x14ac:dyDescent="0.2">
      <c r="A467" s="4" t="str">
        <f>"03.120/002/2025"</f>
        <v>03.120/002/2025</v>
      </c>
      <c r="B467" s="4" t="str">
        <f>"Sicher im Gespräch - Grundlagen der Gesprächsführung"</f>
        <v>Sicher im Gespräch - Grundlagen der Gesprächsführung</v>
      </c>
      <c r="C467" s="5">
        <v>45967</v>
      </c>
      <c r="D467" s="5">
        <v>45968</v>
      </c>
      <c r="E467" s="4" t="str">
        <f t="shared" si="28"/>
        <v>2 Tage</v>
      </c>
      <c r="F467" s="6">
        <v>490</v>
      </c>
      <c r="G467" s="4" t="str">
        <f t="shared" si="25"/>
        <v>Fachübergreifendes Seminar</v>
      </c>
      <c r="H467" s="4" t="s">
        <v>11</v>
      </c>
    </row>
    <row r="468" spans="1:8" x14ac:dyDescent="0.2">
      <c r="A468" s="4" t="str">
        <f>"03.121/001/2025"</f>
        <v>03.121/001/2025</v>
      </c>
      <c r="B468" s="4" t="str">
        <f>"Sicher im Gespräch - Stimme, Körpersprache und Auftreten"</f>
        <v>Sicher im Gespräch - Stimme, Körpersprache und Auftreten</v>
      </c>
      <c r="C468" s="5">
        <v>45694</v>
      </c>
      <c r="D468" s="5">
        <v>45695</v>
      </c>
      <c r="E468" s="4" t="str">
        <f t="shared" si="28"/>
        <v>2 Tage</v>
      </c>
      <c r="F468" s="6">
        <v>490</v>
      </c>
      <c r="G468" s="4" t="str">
        <f t="shared" si="25"/>
        <v>Fachübergreifendes Seminar</v>
      </c>
      <c r="H468" s="4" t="s">
        <v>11</v>
      </c>
    </row>
    <row r="469" spans="1:8" x14ac:dyDescent="0.2">
      <c r="A469" s="4" t="str">
        <f>"03.121/002/2025"</f>
        <v>03.121/002/2025</v>
      </c>
      <c r="B469" s="4" t="str">
        <f>"Sicher im Gespräch - Stimme, Körpersprache und Auftreten"</f>
        <v>Sicher im Gespräch - Stimme, Körpersprache und Auftreten</v>
      </c>
      <c r="C469" s="5">
        <v>45813</v>
      </c>
      <c r="D469" s="5">
        <v>45814</v>
      </c>
      <c r="E469" s="4" t="str">
        <f t="shared" si="28"/>
        <v>2 Tage</v>
      </c>
      <c r="F469" s="6">
        <v>490</v>
      </c>
      <c r="G469" s="4" t="str">
        <f t="shared" si="25"/>
        <v>Fachübergreifendes Seminar</v>
      </c>
      <c r="H469" s="4" t="s">
        <v>11</v>
      </c>
    </row>
    <row r="470" spans="1:8" x14ac:dyDescent="0.2">
      <c r="A470" s="4" t="str">
        <f>"03.121/003/2025"</f>
        <v>03.121/003/2025</v>
      </c>
      <c r="B470" s="4" t="str">
        <f>"Sicher im Gespräch - Stimme, Körpersprache und Auftreten"</f>
        <v>Sicher im Gespräch - Stimme, Körpersprache und Auftreten</v>
      </c>
      <c r="C470" s="5">
        <v>45855</v>
      </c>
      <c r="D470" s="5">
        <v>45856</v>
      </c>
      <c r="E470" s="4" t="str">
        <f t="shared" si="28"/>
        <v>2 Tage</v>
      </c>
      <c r="F470" s="6">
        <v>490</v>
      </c>
      <c r="G470" s="4" t="str">
        <f t="shared" si="25"/>
        <v>Fachübergreifendes Seminar</v>
      </c>
      <c r="H470" s="4" t="s">
        <v>11</v>
      </c>
    </row>
    <row r="471" spans="1:8" x14ac:dyDescent="0.2">
      <c r="A471" s="4" t="str">
        <f>"03.122/001/2025"</f>
        <v>03.122/001/2025</v>
      </c>
      <c r="B471" s="4" t="str">
        <f>"Sicher im Gespräch - Gesprächsführung in schwierigen Situationen"</f>
        <v>Sicher im Gespräch - Gesprächsführung in schwierigen Situationen</v>
      </c>
      <c r="C471" s="5">
        <v>45776</v>
      </c>
      <c r="D471" s="5">
        <v>45777</v>
      </c>
      <c r="E471" s="4" t="str">
        <f t="shared" si="28"/>
        <v>2 Tage</v>
      </c>
      <c r="F471" s="6">
        <v>490</v>
      </c>
      <c r="G471" s="4" t="str">
        <f t="shared" si="25"/>
        <v>Fachübergreifendes Seminar</v>
      </c>
      <c r="H471" s="4" t="s">
        <v>11</v>
      </c>
    </row>
    <row r="472" spans="1:8" x14ac:dyDescent="0.2">
      <c r="A472" s="4" t="str">
        <f>"03.122/002/2025"</f>
        <v>03.122/002/2025</v>
      </c>
      <c r="B472" s="4" t="str">
        <f>"Sicher im Gespräch - Gesprächsführung in schwierigen Situationen"</f>
        <v>Sicher im Gespräch - Gesprächsführung in schwierigen Situationen</v>
      </c>
      <c r="C472" s="5">
        <v>45931</v>
      </c>
      <c r="D472" s="5">
        <v>45932</v>
      </c>
      <c r="E472" s="4" t="str">
        <f t="shared" si="28"/>
        <v>2 Tage</v>
      </c>
      <c r="F472" s="6">
        <v>490</v>
      </c>
      <c r="G472" s="4" t="str">
        <f t="shared" si="25"/>
        <v>Fachübergreifendes Seminar</v>
      </c>
      <c r="H472" s="4" t="s">
        <v>11</v>
      </c>
    </row>
    <row r="473" spans="1:8" x14ac:dyDescent="0.2">
      <c r="A473" s="4" t="str">
        <f>"03.130/001/2025"</f>
        <v>03.130/001/2025</v>
      </c>
      <c r="B473" s="4" t="str">
        <f>"Klartext reden - Selbstbewusst und souverän kommunizieren"</f>
        <v>Klartext reden - Selbstbewusst und souverän kommunizieren</v>
      </c>
      <c r="C473" s="5">
        <v>45754</v>
      </c>
      <c r="D473" s="5">
        <v>45755</v>
      </c>
      <c r="E473" s="4" t="str">
        <f t="shared" si="28"/>
        <v>2 Tage</v>
      </c>
      <c r="F473" s="6">
        <v>490</v>
      </c>
      <c r="G473" s="4" t="str">
        <f t="shared" si="25"/>
        <v>Fachübergreifendes Seminar</v>
      </c>
      <c r="H473" s="4" t="s">
        <v>11</v>
      </c>
    </row>
    <row r="474" spans="1:8" x14ac:dyDescent="0.2">
      <c r="A474" s="4" t="str">
        <f>"03.130/002/2025"</f>
        <v>03.130/002/2025</v>
      </c>
      <c r="B474" s="4" t="str">
        <f>"Klartext reden - Selbstbewusst und souverän kommunizieren"</f>
        <v>Klartext reden - Selbstbewusst und souverän kommunizieren</v>
      </c>
      <c r="C474" s="5">
        <v>45841</v>
      </c>
      <c r="D474" s="5">
        <v>45842</v>
      </c>
      <c r="E474" s="4" t="str">
        <f t="shared" si="28"/>
        <v>2 Tage</v>
      </c>
      <c r="F474" s="6">
        <v>490</v>
      </c>
      <c r="G474" s="4" t="str">
        <f t="shared" si="25"/>
        <v>Fachübergreifendes Seminar</v>
      </c>
      <c r="H474" s="4" t="s">
        <v>11</v>
      </c>
    </row>
    <row r="475" spans="1:8" x14ac:dyDescent="0.2">
      <c r="A475" s="4" t="str">
        <f>"03.130/003/2025"</f>
        <v>03.130/003/2025</v>
      </c>
      <c r="B475" s="4" t="str">
        <f>"Klartext reden - Selbstbewusst und souverän kommunizieren"</f>
        <v>Klartext reden - Selbstbewusst und souverän kommunizieren</v>
      </c>
      <c r="C475" s="5">
        <v>45869</v>
      </c>
      <c r="D475" s="5">
        <v>45870</v>
      </c>
      <c r="E475" s="4" t="str">
        <f t="shared" si="28"/>
        <v>2 Tage</v>
      </c>
      <c r="F475" s="6">
        <v>490</v>
      </c>
      <c r="G475" s="4" t="str">
        <f t="shared" si="25"/>
        <v>Fachübergreifendes Seminar</v>
      </c>
      <c r="H475" s="4" t="s">
        <v>11</v>
      </c>
    </row>
    <row r="476" spans="1:8" x14ac:dyDescent="0.2">
      <c r="A476" s="4" t="str">
        <f>"03.135/001/2025"</f>
        <v>03.135/001/2025</v>
      </c>
      <c r="B476" s="4" t="str">
        <f>"Sicher kommunizieren in Druck- und Stresssituationen"</f>
        <v>Sicher kommunizieren in Druck- und Stresssituationen</v>
      </c>
      <c r="C476" s="5">
        <v>45708</v>
      </c>
      <c r="D476" s="5">
        <v>45709</v>
      </c>
      <c r="E476" s="4" t="str">
        <f t="shared" si="28"/>
        <v>2 Tage</v>
      </c>
      <c r="F476" s="6">
        <v>490</v>
      </c>
      <c r="G476" s="4" t="str">
        <f t="shared" si="25"/>
        <v>Fachübergreifendes Seminar</v>
      </c>
      <c r="H476" s="4" t="s">
        <v>11</v>
      </c>
    </row>
    <row r="477" spans="1:8" x14ac:dyDescent="0.2">
      <c r="A477" s="4" t="str">
        <f>"03.135/002/2025"</f>
        <v>03.135/002/2025</v>
      </c>
      <c r="B477" s="4" t="str">
        <f>"Sicher kommunizieren in Druck- und Stresssituationen"</f>
        <v>Sicher kommunizieren in Druck- und Stresssituationen</v>
      </c>
      <c r="C477" s="5">
        <v>45755</v>
      </c>
      <c r="D477" s="5">
        <v>45756</v>
      </c>
      <c r="E477" s="4" t="str">
        <f t="shared" si="28"/>
        <v>2 Tage</v>
      </c>
      <c r="F477" s="6">
        <v>490</v>
      </c>
      <c r="G477" s="4" t="str">
        <f t="shared" si="25"/>
        <v>Fachübergreifendes Seminar</v>
      </c>
      <c r="H477" s="4" t="s">
        <v>11</v>
      </c>
    </row>
    <row r="478" spans="1:8" x14ac:dyDescent="0.2">
      <c r="A478" s="4" t="str">
        <f>"03.135/003/2025"</f>
        <v>03.135/003/2025</v>
      </c>
      <c r="B478" s="4" t="str">
        <f>"Sicher kommunizieren in Druck- und Stresssituationen"</f>
        <v>Sicher kommunizieren in Druck- und Stresssituationen</v>
      </c>
      <c r="C478" s="5">
        <v>45965</v>
      </c>
      <c r="D478" s="5">
        <v>45966</v>
      </c>
      <c r="E478" s="4" t="str">
        <f t="shared" si="28"/>
        <v>2 Tage</v>
      </c>
      <c r="F478" s="6">
        <v>490</v>
      </c>
      <c r="G478" s="4" t="str">
        <f t="shared" si="25"/>
        <v>Fachübergreifendes Seminar</v>
      </c>
      <c r="H478" s="4" t="s">
        <v>11</v>
      </c>
    </row>
    <row r="479" spans="1:8" x14ac:dyDescent="0.2">
      <c r="A479" s="4" t="str">
        <f>"03.140/001/2025"</f>
        <v>03.140/001/2025</v>
      </c>
      <c r="B479" s="4" t="str">
        <f>"Gezielter kommunizieren - Neurokommunikation"</f>
        <v>Gezielter kommunizieren - Neurokommunikation</v>
      </c>
      <c r="C479" s="5">
        <v>45722</v>
      </c>
      <c r="D479" s="5">
        <v>45723</v>
      </c>
      <c r="E479" s="4" t="str">
        <f t="shared" si="28"/>
        <v>2 Tage</v>
      </c>
      <c r="F479" s="6">
        <v>490</v>
      </c>
      <c r="G479" s="4" t="str">
        <f t="shared" si="25"/>
        <v>Fachübergreifendes Seminar</v>
      </c>
      <c r="H479" s="4" t="s">
        <v>11</v>
      </c>
    </row>
    <row r="480" spans="1:8" x14ac:dyDescent="0.2">
      <c r="A480" s="4" t="str">
        <f>"03.140/002/2025"</f>
        <v>03.140/002/2025</v>
      </c>
      <c r="B480" s="4" t="str">
        <f>"Gezielter kommunizieren - Neurokommunikation"</f>
        <v>Gezielter kommunizieren - Neurokommunikation</v>
      </c>
      <c r="C480" s="5">
        <v>45987</v>
      </c>
      <c r="D480" s="5">
        <v>45988</v>
      </c>
      <c r="E480" s="4" t="str">
        <f t="shared" si="28"/>
        <v>2 Tage</v>
      </c>
      <c r="F480" s="6">
        <v>490</v>
      </c>
      <c r="G480" s="4" t="str">
        <f t="shared" si="25"/>
        <v>Fachübergreifendes Seminar</v>
      </c>
      <c r="H480" s="4" t="s">
        <v>11</v>
      </c>
    </row>
    <row r="481" spans="1:8" x14ac:dyDescent="0.2">
      <c r="A481" s="4" t="str">
        <f>"03.142/001/2025"</f>
        <v>03.142/001/2025</v>
      </c>
      <c r="B481" s="4" t="str">
        <f>"Gefühle sehen und Menschen verstehen - Mimikresonanz"</f>
        <v>Gefühle sehen und Menschen verstehen - Mimikresonanz</v>
      </c>
      <c r="C481" s="5">
        <v>45736</v>
      </c>
      <c r="D481" s="5">
        <v>45737</v>
      </c>
      <c r="E481" s="4" t="str">
        <f t="shared" si="28"/>
        <v>2 Tage</v>
      </c>
      <c r="F481" s="6">
        <v>490</v>
      </c>
      <c r="G481" s="4" t="str">
        <f t="shared" si="25"/>
        <v>Fachübergreifendes Seminar</v>
      </c>
      <c r="H481" s="4" t="s">
        <v>11</v>
      </c>
    </row>
    <row r="482" spans="1:8" x14ac:dyDescent="0.2">
      <c r="A482" s="4" t="str">
        <f>"03.142/002/2025"</f>
        <v>03.142/002/2025</v>
      </c>
      <c r="B482" s="4" t="str">
        <f>"Gefühle sehen und Menschen verstehen - Mimikresonanz"</f>
        <v>Gefühle sehen und Menschen verstehen - Mimikresonanz</v>
      </c>
      <c r="C482" s="5">
        <v>45936</v>
      </c>
      <c r="D482" s="5">
        <v>45937</v>
      </c>
      <c r="E482" s="4" t="str">
        <f t="shared" si="28"/>
        <v>2 Tage</v>
      </c>
      <c r="F482" s="6">
        <v>490</v>
      </c>
      <c r="G482" s="4" t="str">
        <f t="shared" si="25"/>
        <v>Fachübergreifendes Seminar</v>
      </c>
      <c r="H482" s="4" t="s">
        <v>11</v>
      </c>
    </row>
    <row r="483" spans="1:8" x14ac:dyDescent="0.2">
      <c r="A483" s="4" t="str">
        <f>"03.145/001/2025"</f>
        <v>03.145/001/2025</v>
      </c>
      <c r="B483" s="4" t="str">
        <f>"Charismatisch und selbstbewusst auftreten"</f>
        <v>Charismatisch und selbstbewusst auftreten</v>
      </c>
      <c r="C483" s="5">
        <v>45763</v>
      </c>
      <c r="D483" s="5">
        <v>45764</v>
      </c>
      <c r="E483" s="4" t="str">
        <f t="shared" si="28"/>
        <v>2 Tage</v>
      </c>
      <c r="F483" s="6">
        <v>490</v>
      </c>
      <c r="G483" s="4" t="str">
        <f t="shared" si="25"/>
        <v>Fachübergreifendes Seminar</v>
      </c>
      <c r="H483" s="4" t="s">
        <v>11</v>
      </c>
    </row>
    <row r="484" spans="1:8" x14ac:dyDescent="0.2">
      <c r="A484" s="4" t="str">
        <f>"03.145/002/2025"</f>
        <v>03.145/002/2025</v>
      </c>
      <c r="B484" s="4" t="str">
        <f>"Charismatisch und selbstbewusst auftreten"</f>
        <v>Charismatisch und selbstbewusst auftreten</v>
      </c>
      <c r="C484" s="5">
        <v>45897</v>
      </c>
      <c r="D484" s="5">
        <v>45898</v>
      </c>
      <c r="E484" s="4" t="str">
        <f t="shared" si="28"/>
        <v>2 Tage</v>
      </c>
      <c r="F484" s="6">
        <v>490</v>
      </c>
      <c r="G484" s="4" t="str">
        <f t="shared" si="25"/>
        <v>Fachübergreifendes Seminar</v>
      </c>
      <c r="H484" s="4" t="s">
        <v>11</v>
      </c>
    </row>
    <row r="485" spans="1:8" x14ac:dyDescent="0.2">
      <c r="A485" s="4" t="str">
        <f>"03.150/001/2025"</f>
        <v>03.150/001/2025</v>
      </c>
      <c r="B485" s="4" t="str">
        <f>"NEIN sagen"</f>
        <v>NEIN sagen</v>
      </c>
      <c r="C485" s="5">
        <v>45727</v>
      </c>
      <c r="D485" s="5">
        <v>45728</v>
      </c>
      <c r="E485" s="4" t="str">
        <f t="shared" si="28"/>
        <v>2 Tage</v>
      </c>
      <c r="F485" s="6">
        <v>490</v>
      </c>
      <c r="G485" s="4" t="str">
        <f t="shared" si="25"/>
        <v>Fachübergreifendes Seminar</v>
      </c>
      <c r="H485" s="4" t="s">
        <v>11</v>
      </c>
    </row>
    <row r="486" spans="1:8" x14ac:dyDescent="0.2">
      <c r="A486" s="4" t="str">
        <f>"03.150/002/2025"</f>
        <v>03.150/002/2025</v>
      </c>
      <c r="B486" s="4" t="str">
        <f>"NEIN sagen"</f>
        <v>NEIN sagen</v>
      </c>
      <c r="C486" s="5">
        <v>45845</v>
      </c>
      <c r="D486" s="5">
        <v>45846</v>
      </c>
      <c r="E486" s="4" t="str">
        <f t="shared" si="28"/>
        <v>2 Tage</v>
      </c>
      <c r="F486" s="6">
        <v>490</v>
      </c>
      <c r="G486" s="4" t="str">
        <f t="shared" si="25"/>
        <v>Fachübergreifendes Seminar</v>
      </c>
      <c r="H486" s="4" t="s">
        <v>11</v>
      </c>
    </row>
    <row r="487" spans="1:8" x14ac:dyDescent="0.2">
      <c r="A487" s="4" t="str">
        <f>"03.150/003/2025"</f>
        <v>03.150/003/2025</v>
      </c>
      <c r="B487" s="4" t="str">
        <f>"NEIN sagen"</f>
        <v>NEIN sagen</v>
      </c>
      <c r="C487" s="5">
        <v>45929</v>
      </c>
      <c r="D487" s="5">
        <v>45930</v>
      </c>
      <c r="E487" s="4" t="str">
        <f t="shared" si="28"/>
        <v>2 Tage</v>
      </c>
      <c r="F487" s="6">
        <v>490</v>
      </c>
      <c r="G487" s="4" t="str">
        <f t="shared" si="25"/>
        <v>Fachübergreifendes Seminar</v>
      </c>
      <c r="H487" s="4" t="s">
        <v>11</v>
      </c>
    </row>
    <row r="488" spans="1:8" x14ac:dyDescent="0.2">
      <c r="A488" s="4" t="str">
        <f>"03.155/001/2025"</f>
        <v>03.155/001/2025</v>
      </c>
      <c r="B488" s="4" t="str">
        <f>"Workshop: Weibliche und männliche Kommunikation"</f>
        <v>Workshop: Weibliche und männliche Kommunikation</v>
      </c>
      <c r="C488" s="5">
        <v>45727</v>
      </c>
      <c r="D488" s="5">
        <v>45728</v>
      </c>
      <c r="E488" s="4" t="str">
        <f t="shared" si="28"/>
        <v>2 Tage</v>
      </c>
      <c r="F488" s="6">
        <v>490</v>
      </c>
      <c r="G488" s="4" t="str">
        <f t="shared" si="25"/>
        <v>Fachübergreifendes Seminar</v>
      </c>
      <c r="H488" s="4" t="s">
        <v>11</v>
      </c>
    </row>
    <row r="489" spans="1:8" x14ac:dyDescent="0.2">
      <c r="A489" s="4" t="str">
        <f>"03.155/002/2025"</f>
        <v>03.155/002/2025</v>
      </c>
      <c r="B489" s="4" t="str">
        <f>"Workshop: Weibliche und männliche Kommunikation"</f>
        <v>Workshop: Weibliche und männliche Kommunikation</v>
      </c>
      <c r="C489" s="5">
        <v>45915</v>
      </c>
      <c r="D489" s="5">
        <v>45916</v>
      </c>
      <c r="E489" s="4" t="str">
        <f t="shared" si="28"/>
        <v>2 Tage</v>
      </c>
      <c r="F489" s="6">
        <v>490</v>
      </c>
      <c r="G489" s="4" t="str">
        <f t="shared" si="25"/>
        <v>Fachübergreifendes Seminar</v>
      </c>
      <c r="H489" s="4" t="s">
        <v>11</v>
      </c>
    </row>
    <row r="490" spans="1:8" x14ac:dyDescent="0.2">
      <c r="A490" s="4" t="str">
        <f>"03.160/001/2025"</f>
        <v>03.160/001/2025</v>
      </c>
      <c r="B490" s="4" t="str">
        <f>"Selbstsichere Ausstrahlung als Frau im Beruf"</f>
        <v>Selbstsichere Ausstrahlung als Frau im Beruf</v>
      </c>
      <c r="C490" s="5">
        <v>45687</v>
      </c>
      <c r="D490" s="5">
        <v>45688</v>
      </c>
      <c r="E490" s="4" t="str">
        <f t="shared" si="28"/>
        <v>2 Tage</v>
      </c>
      <c r="F490" s="6">
        <v>490</v>
      </c>
      <c r="G490" s="4" t="str">
        <f t="shared" si="25"/>
        <v>Fachübergreifendes Seminar</v>
      </c>
      <c r="H490" s="4" t="s">
        <v>11</v>
      </c>
    </row>
    <row r="491" spans="1:8" x14ac:dyDescent="0.2">
      <c r="A491" s="4" t="str">
        <f>"03.160/002/2025"</f>
        <v>03.160/002/2025</v>
      </c>
      <c r="B491" s="4" t="str">
        <f>"Selbstsichere Ausstrahlung als Frau im Beruf"</f>
        <v>Selbstsichere Ausstrahlung als Frau im Beruf</v>
      </c>
      <c r="C491" s="5">
        <v>45790</v>
      </c>
      <c r="D491" s="5">
        <v>45791</v>
      </c>
      <c r="E491" s="4" t="str">
        <f t="shared" si="28"/>
        <v>2 Tage</v>
      </c>
      <c r="F491" s="6">
        <v>490</v>
      </c>
      <c r="G491" s="4" t="str">
        <f t="shared" ref="G491:G501" si="29">"Fachübergreifendes Seminar"</f>
        <v>Fachübergreifendes Seminar</v>
      </c>
      <c r="H491" s="4" t="s">
        <v>11</v>
      </c>
    </row>
    <row r="492" spans="1:8" x14ac:dyDescent="0.2">
      <c r="A492" s="4" t="str">
        <f>"03.160/003/2025"</f>
        <v>03.160/003/2025</v>
      </c>
      <c r="B492" s="4" t="str">
        <f>"Selbstsichere Ausstrahlung als Frau im Beruf"</f>
        <v>Selbstsichere Ausstrahlung als Frau im Beruf</v>
      </c>
      <c r="C492" s="5">
        <v>45957</v>
      </c>
      <c r="D492" s="5">
        <v>45958</v>
      </c>
      <c r="E492" s="4" t="str">
        <f t="shared" si="28"/>
        <v>2 Tage</v>
      </c>
      <c r="F492" s="6">
        <v>490</v>
      </c>
      <c r="G492" s="4" t="str">
        <f t="shared" si="29"/>
        <v>Fachübergreifendes Seminar</v>
      </c>
      <c r="H492" s="4" t="s">
        <v>11</v>
      </c>
    </row>
    <row r="493" spans="1:8" x14ac:dyDescent="0.2">
      <c r="A493" s="4" t="str">
        <f>"03.215/001/2025"</f>
        <v>03.215/001/2025</v>
      </c>
      <c r="B493" s="4" t="str">
        <f t="shared" ref="B493:B501" si="30">"Rhetorik 1 - Sprechen vor Publikum"</f>
        <v>Rhetorik 1 - Sprechen vor Publikum</v>
      </c>
      <c r="C493" s="5">
        <v>45691</v>
      </c>
      <c r="D493" s="5">
        <v>45693</v>
      </c>
      <c r="E493" s="4" t="str">
        <f t="shared" ref="E493:E515" si="31">"3 Tage"</f>
        <v>3 Tage</v>
      </c>
      <c r="F493" s="6">
        <v>760</v>
      </c>
      <c r="G493" s="4" t="str">
        <f t="shared" si="29"/>
        <v>Fachübergreifendes Seminar</v>
      </c>
      <c r="H493" s="4" t="s">
        <v>11</v>
      </c>
    </row>
    <row r="494" spans="1:8" x14ac:dyDescent="0.2">
      <c r="A494" s="4" t="str">
        <f>"03.215/002/2025"</f>
        <v>03.215/002/2025</v>
      </c>
      <c r="B494" s="4" t="str">
        <f t="shared" si="30"/>
        <v>Rhetorik 1 - Sprechen vor Publikum</v>
      </c>
      <c r="C494" s="5">
        <v>45740</v>
      </c>
      <c r="D494" s="5">
        <v>45742</v>
      </c>
      <c r="E494" s="4" t="str">
        <f t="shared" si="31"/>
        <v>3 Tage</v>
      </c>
      <c r="F494" s="6">
        <v>760</v>
      </c>
      <c r="G494" s="4" t="str">
        <f t="shared" si="29"/>
        <v>Fachübergreifendes Seminar</v>
      </c>
      <c r="H494" s="4" t="s">
        <v>11</v>
      </c>
    </row>
    <row r="495" spans="1:8" x14ac:dyDescent="0.2">
      <c r="A495" s="4" t="str">
        <f>"03.215/003/2025"</f>
        <v>03.215/003/2025</v>
      </c>
      <c r="B495" s="4" t="str">
        <f t="shared" si="30"/>
        <v>Rhetorik 1 - Sprechen vor Publikum</v>
      </c>
      <c r="C495" s="5">
        <v>45783</v>
      </c>
      <c r="D495" s="5">
        <v>45785</v>
      </c>
      <c r="E495" s="4" t="str">
        <f t="shared" si="31"/>
        <v>3 Tage</v>
      </c>
      <c r="F495" s="6">
        <v>760</v>
      </c>
      <c r="G495" s="4" t="str">
        <f t="shared" si="29"/>
        <v>Fachübergreifendes Seminar</v>
      </c>
      <c r="H495" s="4" t="s">
        <v>11</v>
      </c>
    </row>
    <row r="496" spans="1:8" x14ac:dyDescent="0.2">
      <c r="A496" s="4" t="str">
        <f>"03.215/004/2025"</f>
        <v>03.215/004/2025</v>
      </c>
      <c r="B496" s="4" t="str">
        <f t="shared" si="30"/>
        <v>Rhetorik 1 - Sprechen vor Publikum</v>
      </c>
      <c r="C496" s="5">
        <v>45811</v>
      </c>
      <c r="D496" s="5">
        <v>45813</v>
      </c>
      <c r="E496" s="4" t="str">
        <f t="shared" si="31"/>
        <v>3 Tage</v>
      </c>
      <c r="F496" s="6">
        <v>760</v>
      </c>
      <c r="G496" s="4" t="str">
        <f t="shared" si="29"/>
        <v>Fachübergreifendes Seminar</v>
      </c>
      <c r="H496" s="4" t="s">
        <v>11</v>
      </c>
    </row>
    <row r="497" spans="1:8" x14ac:dyDescent="0.2">
      <c r="A497" s="4" t="str">
        <f>"03.215/005/2025"</f>
        <v>03.215/005/2025</v>
      </c>
      <c r="B497" s="4" t="str">
        <f t="shared" si="30"/>
        <v>Rhetorik 1 - Sprechen vor Publikum</v>
      </c>
      <c r="C497" s="5">
        <v>45847</v>
      </c>
      <c r="D497" s="5">
        <v>45849</v>
      </c>
      <c r="E497" s="4" t="str">
        <f t="shared" si="31"/>
        <v>3 Tage</v>
      </c>
      <c r="F497" s="6">
        <v>760</v>
      </c>
      <c r="G497" s="4" t="str">
        <f t="shared" si="29"/>
        <v>Fachübergreifendes Seminar</v>
      </c>
      <c r="H497" s="4" t="s">
        <v>11</v>
      </c>
    </row>
    <row r="498" spans="1:8" x14ac:dyDescent="0.2">
      <c r="A498" s="4" t="str">
        <f>"03.215/006/2025"</f>
        <v>03.215/006/2025</v>
      </c>
      <c r="B498" s="4" t="str">
        <f t="shared" si="30"/>
        <v>Rhetorik 1 - Sprechen vor Publikum</v>
      </c>
      <c r="C498" s="5">
        <v>45901</v>
      </c>
      <c r="D498" s="5">
        <v>45903</v>
      </c>
      <c r="E498" s="4" t="str">
        <f t="shared" si="31"/>
        <v>3 Tage</v>
      </c>
      <c r="F498" s="6">
        <v>760</v>
      </c>
      <c r="G498" s="4" t="str">
        <f t="shared" si="29"/>
        <v>Fachübergreifendes Seminar</v>
      </c>
      <c r="H498" s="4" t="s">
        <v>11</v>
      </c>
    </row>
    <row r="499" spans="1:8" x14ac:dyDescent="0.2">
      <c r="A499" s="4" t="str">
        <f>"03.215/007/2025"</f>
        <v>03.215/007/2025</v>
      </c>
      <c r="B499" s="4" t="str">
        <f t="shared" si="30"/>
        <v>Rhetorik 1 - Sprechen vor Publikum</v>
      </c>
      <c r="C499" s="5">
        <v>45938</v>
      </c>
      <c r="D499" s="5">
        <v>45940</v>
      </c>
      <c r="E499" s="4" t="str">
        <f t="shared" si="31"/>
        <v>3 Tage</v>
      </c>
      <c r="F499" s="6">
        <v>760</v>
      </c>
      <c r="G499" s="4" t="str">
        <f t="shared" si="29"/>
        <v>Fachübergreifendes Seminar</v>
      </c>
      <c r="H499" s="4" t="s">
        <v>11</v>
      </c>
    </row>
    <row r="500" spans="1:8" x14ac:dyDescent="0.2">
      <c r="A500" s="4" t="str">
        <f>"03.215/008/2025"</f>
        <v>03.215/008/2025</v>
      </c>
      <c r="B500" s="4" t="str">
        <f t="shared" si="30"/>
        <v>Rhetorik 1 - Sprechen vor Publikum</v>
      </c>
      <c r="C500" s="5">
        <v>45966</v>
      </c>
      <c r="D500" s="5">
        <v>45968</v>
      </c>
      <c r="E500" s="4" t="str">
        <f t="shared" si="31"/>
        <v>3 Tage</v>
      </c>
      <c r="F500" s="6">
        <v>760</v>
      </c>
      <c r="G500" s="4" t="str">
        <f t="shared" si="29"/>
        <v>Fachübergreifendes Seminar</v>
      </c>
      <c r="H500" s="4" t="s">
        <v>11</v>
      </c>
    </row>
    <row r="501" spans="1:8" x14ac:dyDescent="0.2">
      <c r="A501" s="4" t="str">
        <f>"03.215/009/2025"</f>
        <v>03.215/009/2025</v>
      </c>
      <c r="B501" s="4" t="str">
        <f t="shared" si="30"/>
        <v>Rhetorik 1 - Sprechen vor Publikum</v>
      </c>
      <c r="C501" s="5">
        <v>45994</v>
      </c>
      <c r="D501" s="5">
        <v>45996</v>
      </c>
      <c r="E501" s="4" t="str">
        <f t="shared" si="31"/>
        <v>3 Tage</v>
      </c>
      <c r="F501" s="6">
        <v>760</v>
      </c>
      <c r="G501" s="4" t="str">
        <f t="shared" si="29"/>
        <v>Fachübergreifendes Seminar</v>
      </c>
      <c r="H501" s="4" t="s">
        <v>11</v>
      </c>
    </row>
    <row r="502" spans="1:8" x14ac:dyDescent="0.2">
      <c r="A502" s="4" t="str">
        <f>"03.216/001/2025"</f>
        <v>03.216/001/2025</v>
      </c>
      <c r="B502" s="4" t="str">
        <f>"Rhetorik 2 - Argumentieren und überzeugen"</f>
        <v>Rhetorik 2 - Argumentieren und überzeugen</v>
      </c>
      <c r="C502" s="5">
        <v>45677</v>
      </c>
      <c r="D502" s="5">
        <v>45679</v>
      </c>
      <c r="E502" s="4" t="str">
        <f t="shared" si="31"/>
        <v>3 Tage</v>
      </c>
      <c r="F502" s="6">
        <v>760</v>
      </c>
      <c r="G502" s="4" t="str">
        <f>"Fachbezogenes Seminar"</f>
        <v>Fachbezogenes Seminar</v>
      </c>
      <c r="H502" s="4" t="s">
        <v>11</v>
      </c>
    </row>
    <row r="503" spans="1:8" x14ac:dyDescent="0.2">
      <c r="A503" s="4" t="str">
        <f>"03.216/002/2025"</f>
        <v>03.216/002/2025</v>
      </c>
      <c r="B503" s="4" t="str">
        <f>"Rhetorik 2 - Argumentieren und überzeugen"</f>
        <v>Rhetorik 2 - Argumentieren und überzeugen</v>
      </c>
      <c r="C503" s="5">
        <v>45775</v>
      </c>
      <c r="D503" s="5">
        <v>45777</v>
      </c>
      <c r="E503" s="4" t="str">
        <f t="shared" si="31"/>
        <v>3 Tage</v>
      </c>
      <c r="F503" s="6">
        <v>760</v>
      </c>
      <c r="G503" s="4" t="str">
        <f>"Fachbezogenes Seminar"</f>
        <v>Fachbezogenes Seminar</v>
      </c>
      <c r="H503" s="4" t="s">
        <v>11</v>
      </c>
    </row>
    <row r="504" spans="1:8" x14ac:dyDescent="0.2">
      <c r="A504" s="4" t="str">
        <f>"03.216/003/2025"</f>
        <v>03.216/003/2025</v>
      </c>
      <c r="B504" s="4" t="str">
        <f>"Rhetorik 2 - Argumentieren und überzeugen"</f>
        <v>Rhetorik 2 - Argumentieren und überzeugen</v>
      </c>
      <c r="C504" s="5">
        <v>45868</v>
      </c>
      <c r="D504" s="5">
        <v>45870</v>
      </c>
      <c r="E504" s="4" t="str">
        <f t="shared" si="31"/>
        <v>3 Tage</v>
      </c>
      <c r="F504" s="6">
        <v>760</v>
      </c>
      <c r="G504" s="4" t="str">
        <f>"Fachbezogenes Seminar"</f>
        <v>Fachbezogenes Seminar</v>
      </c>
      <c r="H504" s="4" t="s">
        <v>11</v>
      </c>
    </row>
    <row r="505" spans="1:8" x14ac:dyDescent="0.2">
      <c r="A505" s="4" t="str">
        <f>"03.216/004/2025"</f>
        <v>03.216/004/2025</v>
      </c>
      <c r="B505" s="4" t="str">
        <f>"Rhetorik 2 - Argumentieren und überzeugen"</f>
        <v>Rhetorik 2 - Argumentieren und überzeugen</v>
      </c>
      <c r="C505" s="5">
        <v>45980</v>
      </c>
      <c r="D505" s="5">
        <v>45982</v>
      </c>
      <c r="E505" s="4" t="str">
        <f t="shared" si="31"/>
        <v>3 Tage</v>
      </c>
      <c r="F505" s="6">
        <v>760</v>
      </c>
      <c r="G505" s="4" t="str">
        <f>"Fachbezogenes Seminar"</f>
        <v>Fachbezogenes Seminar</v>
      </c>
      <c r="H505" s="4" t="s">
        <v>11</v>
      </c>
    </row>
    <row r="506" spans="1:8" x14ac:dyDescent="0.2">
      <c r="A506" s="4" t="str">
        <f>"03.216/005/2025"</f>
        <v>03.216/005/2025</v>
      </c>
      <c r="B506" s="4" t="str">
        <f>"Rhetorik 2 - Argumentieren und überzeugen"</f>
        <v>Rhetorik 2 - Argumentieren und überzeugen</v>
      </c>
      <c r="C506" s="5">
        <v>46001</v>
      </c>
      <c r="D506" s="5">
        <v>46003</v>
      </c>
      <c r="E506" s="4" t="str">
        <f t="shared" si="31"/>
        <v>3 Tage</v>
      </c>
      <c r="F506" s="6">
        <v>760</v>
      </c>
      <c r="G506" s="4" t="str">
        <f>"Fachbezogenes Seminar"</f>
        <v>Fachbezogenes Seminar</v>
      </c>
      <c r="H506" s="4" t="s">
        <v>11</v>
      </c>
    </row>
    <row r="507" spans="1:8" x14ac:dyDescent="0.2">
      <c r="A507" s="4" t="str">
        <f>"03.217/001/2025"</f>
        <v>03.217/001/2025</v>
      </c>
      <c r="B507" s="4" t="str">
        <f>"Rhetorik 3 - Schwierige Gespräche und Interventionen"</f>
        <v>Rhetorik 3 - Schwierige Gespräche und Interventionen</v>
      </c>
      <c r="C507" s="5">
        <v>45691</v>
      </c>
      <c r="D507" s="5">
        <v>45693</v>
      </c>
      <c r="E507" s="4" t="str">
        <f t="shared" si="31"/>
        <v>3 Tage</v>
      </c>
      <c r="F507" s="6">
        <v>760</v>
      </c>
      <c r="G507" s="4" t="str">
        <f>"Führungsfortbildung"</f>
        <v>Führungsfortbildung</v>
      </c>
      <c r="H507" s="4" t="s">
        <v>11</v>
      </c>
    </row>
    <row r="508" spans="1:8" x14ac:dyDescent="0.2">
      <c r="A508" s="4" t="str">
        <f>"03.217/002/2025"</f>
        <v>03.217/002/2025</v>
      </c>
      <c r="B508" s="4" t="str">
        <f>"Rhetorik 3 - Schwierige Gespräche und Interventionen"</f>
        <v>Rhetorik 3 - Schwierige Gespräche und Interventionen</v>
      </c>
      <c r="C508" s="5">
        <v>45964</v>
      </c>
      <c r="D508" s="5">
        <v>45966</v>
      </c>
      <c r="E508" s="4" t="str">
        <f t="shared" si="31"/>
        <v>3 Tage</v>
      </c>
      <c r="F508" s="6">
        <v>760</v>
      </c>
      <c r="G508" s="4" t="str">
        <f>"Führungsfortbildung"</f>
        <v>Führungsfortbildung</v>
      </c>
      <c r="H508" s="4" t="s">
        <v>11</v>
      </c>
    </row>
    <row r="509" spans="1:8" x14ac:dyDescent="0.2">
      <c r="A509" s="4" t="str">
        <f>"03.218/001/2025"</f>
        <v>03.218/001/2025</v>
      </c>
      <c r="B509" s="4" t="str">
        <f>"Rhetorik 4 - Erfolgreiche Verhandlungsführung"</f>
        <v>Rhetorik 4 - Erfolgreiche Verhandlungsführung</v>
      </c>
      <c r="C509" s="5">
        <v>45684</v>
      </c>
      <c r="D509" s="5">
        <v>45686</v>
      </c>
      <c r="E509" s="4" t="str">
        <f t="shared" si="31"/>
        <v>3 Tage</v>
      </c>
      <c r="F509" s="6">
        <v>760</v>
      </c>
      <c r="G509" s="4" t="str">
        <f t="shared" ref="G509:G517" si="32">"Fachübergreifendes Seminar"</f>
        <v>Fachübergreifendes Seminar</v>
      </c>
      <c r="H509" s="4" t="s">
        <v>11</v>
      </c>
    </row>
    <row r="510" spans="1:8" x14ac:dyDescent="0.2">
      <c r="A510" s="4" t="str">
        <f>"03.218/002/2025"</f>
        <v>03.218/002/2025</v>
      </c>
      <c r="B510" s="4" t="str">
        <f>"Rhetorik 4 - Erfolgreiche Verhandlungsführung"</f>
        <v>Rhetorik 4 - Erfolgreiche Verhandlungsführung</v>
      </c>
      <c r="C510" s="5">
        <v>45838</v>
      </c>
      <c r="D510" s="5">
        <v>45840</v>
      </c>
      <c r="E510" s="4" t="str">
        <f t="shared" si="31"/>
        <v>3 Tage</v>
      </c>
      <c r="F510" s="6">
        <v>760</v>
      </c>
      <c r="G510" s="4" t="str">
        <f t="shared" si="32"/>
        <v>Fachübergreifendes Seminar</v>
      </c>
      <c r="H510" s="4" t="s">
        <v>11</v>
      </c>
    </row>
    <row r="511" spans="1:8" x14ac:dyDescent="0.2">
      <c r="A511" s="4" t="str">
        <f>"03.218/003/2025"</f>
        <v>03.218/003/2025</v>
      </c>
      <c r="B511" s="4" t="str">
        <f>"Rhetorik 4 - Erfolgreiche Verhandlungsführung"</f>
        <v>Rhetorik 4 - Erfolgreiche Verhandlungsführung</v>
      </c>
      <c r="C511" s="5">
        <v>45915</v>
      </c>
      <c r="D511" s="5">
        <v>45917</v>
      </c>
      <c r="E511" s="4" t="str">
        <f t="shared" si="31"/>
        <v>3 Tage</v>
      </c>
      <c r="F511" s="6">
        <v>760</v>
      </c>
      <c r="G511" s="4" t="str">
        <f t="shared" si="32"/>
        <v>Fachübergreifendes Seminar</v>
      </c>
      <c r="H511" s="4" t="s">
        <v>11</v>
      </c>
    </row>
    <row r="512" spans="1:8" x14ac:dyDescent="0.2">
      <c r="A512" s="4" t="str">
        <f>"03.219/001/2025"</f>
        <v>03.219/001/2025</v>
      </c>
      <c r="B512" s="4" t="str">
        <f>"Gesprächs- und Verhandlungsführung für Frauen"</f>
        <v>Gesprächs- und Verhandlungsführung für Frauen</v>
      </c>
      <c r="C512" s="5">
        <v>45700</v>
      </c>
      <c r="D512" s="5">
        <v>45702</v>
      </c>
      <c r="E512" s="4" t="str">
        <f t="shared" si="31"/>
        <v>3 Tage</v>
      </c>
      <c r="F512" s="6">
        <v>760</v>
      </c>
      <c r="G512" s="4" t="str">
        <f t="shared" si="32"/>
        <v>Fachübergreifendes Seminar</v>
      </c>
      <c r="H512" s="4" t="s">
        <v>11</v>
      </c>
    </row>
    <row r="513" spans="1:8" x14ac:dyDescent="0.2">
      <c r="A513" s="4" t="str">
        <f>"03.219/002/2025"</f>
        <v>03.219/002/2025</v>
      </c>
      <c r="B513" s="4" t="str">
        <f>"Gesprächs- und Verhandlungsführung für Frauen"</f>
        <v>Gesprächs- und Verhandlungsführung für Frauen</v>
      </c>
      <c r="C513" s="5">
        <v>45908</v>
      </c>
      <c r="D513" s="5">
        <v>45910</v>
      </c>
      <c r="E513" s="4" t="str">
        <f t="shared" si="31"/>
        <v>3 Tage</v>
      </c>
      <c r="F513" s="6">
        <v>760</v>
      </c>
      <c r="G513" s="4" t="str">
        <f t="shared" si="32"/>
        <v>Fachübergreifendes Seminar</v>
      </c>
      <c r="H513" s="4" t="s">
        <v>11</v>
      </c>
    </row>
    <row r="514" spans="1:8" x14ac:dyDescent="0.2">
      <c r="A514" s="4" t="str">
        <f>"03.220/003/2025"</f>
        <v>03.220/003/2025</v>
      </c>
      <c r="B514" s="4" t="str">
        <f>"Rhetorik und Stimmtraining - Einführung"</f>
        <v>Rhetorik und Stimmtraining - Einführung</v>
      </c>
      <c r="C514" s="5">
        <v>45775</v>
      </c>
      <c r="D514" s="5">
        <v>45777</v>
      </c>
      <c r="E514" s="4" t="str">
        <f t="shared" si="31"/>
        <v>3 Tage</v>
      </c>
      <c r="F514" s="6">
        <v>760</v>
      </c>
      <c r="G514" s="4" t="str">
        <f t="shared" si="32"/>
        <v>Fachübergreifendes Seminar</v>
      </c>
      <c r="H514" s="4" t="s">
        <v>11</v>
      </c>
    </row>
    <row r="515" spans="1:8" x14ac:dyDescent="0.2">
      <c r="A515" s="4" t="str">
        <f>"03.220/005/2025"</f>
        <v>03.220/005/2025</v>
      </c>
      <c r="B515" s="4" t="str">
        <f>"Rhetorik und Stimmtraining - Einführung"</f>
        <v>Rhetorik und Stimmtraining - Einführung</v>
      </c>
      <c r="C515" s="5">
        <v>45964</v>
      </c>
      <c r="D515" s="5">
        <v>45966</v>
      </c>
      <c r="E515" s="4" t="str">
        <f t="shared" si="31"/>
        <v>3 Tage</v>
      </c>
      <c r="F515" s="6">
        <v>760</v>
      </c>
      <c r="G515" s="4" t="str">
        <f t="shared" si="32"/>
        <v>Fachübergreifendes Seminar</v>
      </c>
      <c r="H515" s="4" t="s">
        <v>11</v>
      </c>
    </row>
    <row r="516" spans="1:8" x14ac:dyDescent="0.2">
      <c r="A516" s="4" t="str">
        <f>"03.221/001/2025"</f>
        <v>03.221/001/2025</v>
      </c>
      <c r="B516" s="4" t="str">
        <f>"Rhetorik und Stimmtraining - Vertiefung"</f>
        <v>Rhetorik und Stimmtraining - Vertiefung</v>
      </c>
      <c r="C516" s="5">
        <v>45713</v>
      </c>
      <c r="D516" s="5">
        <v>45714</v>
      </c>
      <c r="E516" s="4" t="str">
        <f>"2 Tage"</f>
        <v>2 Tage</v>
      </c>
      <c r="F516" s="6">
        <v>490</v>
      </c>
      <c r="G516" s="4" t="str">
        <f t="shared" si="32"/>
        <v>Fachübergreifendes Seminar</v>
      </c>
      <c r="H516" s="4" t="s">
        <v>11</v>
      </c>
    </row>
    <row r="517" spans="1:8" x14ac:dyDescent="0.2">
      <c r="A517" s="4" t="str">
        <f>"03.221/002/2025"</f>
        <v>03.221/002/2025</v>
      </c>
      <c r="B517" s="4" t="str">
        <f>"Rhetorik und Stimmtraining - Vertiefung"</f>
        <v>Rhetorik und Stimmtraining - Vertiefung</v>
      </c>
      <c r="C517" s="5">
        <v>45950</v>
      </c>
      <c r="D517" s="5">
        <v>45951</v>
      </c>
      <c r="E517" s="4" t="str">
        <f>"2 Tage"</f>
        <v>2 Tage</v>
      </c>
      <c r="F517" s="6">
        <v>490</v>
      </c>
      <c r="G517" s="4" t="str">
        <f t="shared" si="32"/>
        <v>Fachübergreifendes Seminar</v>
      </c>
      <c r="H517" s="4" t="s">
        <v>11</v>
      </c>
    </row>
    <row r="518" spans="1:8" x14ac:dyDescent="0.2">
      <c r="A518" s="4" t="str">
        <f>"03.240/001/2025"</f>
        <v>03.240/001/2025</v>
      </c>
      <c r="B518" s="4" t="str">
        <f>"Stimme und Wirkung in Führungssituationen"</f>
        <v>Stimme und Wirkung in Führungssituationen</v>
      </c>
      <c r="C518" s="5">
        <v>45673</v>
      </c>
      <c r="D518" s="5">
        <v>45674</v>
      </c>
      <c r="E518" s="4" t="str">
        <f>"2 Tage"</f>
        <v>2 Tage</v>
      </c>
      <c r="F518" s="6">
        <v>490</v>
      </c>
      <c r="G518" s="4" t="str">
        <f>"Führungsfortbildung"</f>
        <v>Führungsfortbildung</v>
      </c>
      <c r="H518" s="4" t="s">
        <v>11</v>
      </c>
    </row>
    <row r="519" spans="1:8" x14ac:dyDescent="0.2">
      <c r="A519" s="4" t="str">
        <f>"03.245/001/2025"</f>
        <v>03.245/001/2025</v>
      </c>
      <c r="B519" s="4" t="str">
        <f>"Rhetorik und Stimmtraining für Frauen"</f>
        <v>Rhetorik und Stimmtraining für Frauen</v>
      </c>
      <c r="C519" s="5">
        <v>45677</v>
      </c>
      <c r="D519" s="5">
        <v>45679</v>
      </c>
      <c r="E519" s="4" t="str">
        <f t="shared" ref="E519:E523" si="33">"3 Tage"</f>
        <v>3 Tage</v>
      </c>
      <c r="F519" s="6">
        <v>760</v>
      </c>
      <c r="G519" s="4" t="str">
        <f t="shared" ref="G519:G523" si="34">"Fachübergreifendes Seminar"</f>
        <v>Fachübergreifendes Seminar</v>
      </c>
      <c r="H519" s="4" t="s">
        <v>11</v>
      </c>
    </row>
    <row r="520" spans="1:8" x14ac:dyDescent="0.2">
      <c r="A520" s="4" t="str">
        <f>"03.245/002/2025"</f>
        <v>03.245/002/2025</v>
      </c>
      <c r="B520" s="4" t="str">
        <f>"Rhetorik und Stimmtraining für Frauen"</f>
        <v>Rhetorik und Stimmtraining für Frauen</v>
      </c>
      <c r="C520" s="5">
        <v>45803</v>
      </c>
      <c r="D520" s="5">
        <v>45805</v>
      </c>
      <c r="E520" s="4" t="str">
        <f t="shared" si="33"/>
        <v>3 Tage</v>
      </c>
      <c r="F520" s="6">
        <v>760</v>
      </c>
      <c r="G520" s="4" t="str">
        <f t="shared" si="34"/>
        <v>Fachübergreifendes Seminar</v>
      </c>
      <c r="H520" s="4" t="s">
        <v>11</v>
      </c>
    </row>
    <row r="521" spans="1:8" x14ac:dyDescent="0.2">
      <c r="A521" s="4" t="str">
        <f>"03.330/001/2025"</f>
        <v>03.330/001/2025</v>
      </c>
      <c r="B521" s="4" t="str">
        <f>"Besprechungen kompetent leiten"</f>
        <v>Besprechungen kompetent leiten</v>
      </c>
      <c r="C521" s="5">
        <v>45740</v>
      </c>
      <c r="D521" s="5">
        <v>45742</v>
      </c>
      <c r="E521" s="4" t="str">
        <f t="shared" si="33"/>
        <v>3 Tage</v>
      </c>
      <c r="F521" s="6">
        <v>760</v>
      </c>
      <c r="G521" s="4" t="str">
        <f t="shared" si="34"/>
        <v>Fachübergreifendes Seminar</v>
      </c>
      <c r="H521" s="4" t="s">
        <v>11</v>
      </c>
    </row>
    <row r="522" spans="1:8" x14ac:dyDescent="0.2">
      <c r="A522" s="4" t="str">
        <f>"03.330/002/2025"</f>
        <v>03.330/002/2025</v>
      </c>
      <c r="B522" s="4" t="str">
        <f>"Besprechungen kompetent leiten"</f>
        <v>Besprechungen kompetent leiten</v>
      </c>
      <c r="C522" s="5">
        <v>45803</v>
      </c>
      <c r="D522" s="5">
        <v>45805</v>
      </c>
      <c r="E522" s="4" t="str">
        <f t="shared" si="33"/>
        <v>3 Tage</v>
      </c>
      <c r="F522" s="6">
        <v>760</v>
      </c>
      <c r="G522" s="4" t="str">
        <f t="shared" si="34"/>
        <v>Fachübergreifendes Seminar</v>
      </c>
      <c r="H522" s="4" t="s">
        <v>11</v>
      </c>
    </row>
    <row r="523" spans="1:8" x14ac:dyDescent="0.2">
      <c r="A523" s="4" t="str">
        <f>"03.330/003/2025"</f>
        <v>03.330/003/2025</v>
      </c>
      <c r="B523" s="4" t="str">
        <f>"Besprechungen kompetent leiten"</f>
        <v>Besprechungen kompetent leiten</v>
      </c>
      <c r="C523" s="5">
        <v>45957</v>
      </c>
      <c r="D523" s="5">
        <v>45959</v>
      </c>
      <c r="E523" s="4" t="str">
        <f t="shared" si="33"/>
        <v>3 Tage</v>
      </c>
      <c r="F523" s="6">
        <v>760</v>
      </c>
      <c r="G523" s="4" t="str">
        <f t="shared" si="34"/>
        <v>Fachübergreifendes Seminar</v>
      </c>
      <c r="H523" s="4" t="s">
        <v>11</v>
      </c>
    </row>
    <row r="524" spans="1:8" x14ac:dyDescent="0.2">
      <c r="A524" s="4" t="str">
        <f>"03.335/001/2025"</f>
        <v>03.335/001/2025</v>
      </c>
      <c r="B524" s="4" t="str">
        <f>"Führen von Mitarbeitergesprächen"</f>
        <v>Führen von Mitarbeitergesprächen</v>
      </c>
      <c r="C524" s="5">
        <v>45915</v>
      </c>
      <c r="D524" s="5">
        <v>45916</v>
      </c>
      <c r="E524" s="4" t="str">
        <f>"2 Tage"</f>
        <v>2 Tage</v>
      </c>
      <c r="F524" s="6">
        <v>490</v>
      </c>
      <c r="G524" s="4" t="str">
        <f>"Führungsfortbildung"</f>
        <v>Führungsfortbildung</v>
      </c>
      <c r="H524" s="4" t="s">
        <v>11</v>
      </c>
    </row>
    <row r="525" spans="1:8" x14ac:dyDescent="0.2">
      <c r="A525" s="4" t="str">
        <f>"03.340/001/2025"</f>
        <v>03.340/001/2025</v>
      </c>
      <c r="B525" s="4" t="str">
        <f>"Beurteilungsgespräche führen"</f>
        <v>Beurteilungsgespräche führen</v>
      </c>
      <c r="C525" s="5">
        <v>45729</v>
      </c>
      <c r="D525" s="5">
        <v>45730</v>
      </c>
      <c r="E525" s="4" t="str">
        <f>"2 Tage"</f>
        <v>2 Tage</v>
      </c>
      <c r="F525" s="6">
        <v>490</v>
      </c>
      <c r="G525" s="4" t="str">
        <f>"Führungsfortbildung"</f>
        <v>Führungsfortbildung</v>
      </c>
      <c r="H525" s="4" t="s">
        <v>11</v>
      </c>
    </row>
    <row r="526" spans="1:8" x14ac:dyDescent="0.2">
      <c r="A526" s="4" t="str">
        <f>"03.345/001/2025"</f>
        <v>03.345/001/2025</v>
      </c>
      <c r="B526" s="4" t="str">
        <f>"Gut vorbereitet ins Gespräch mit der Führungskraft - Mitarbeitergespräche aktiv mitgestalten"</f>
        <v>Gut vorbereitet ins Gespräch mit der Führungskraft - Mitarbeitergespräche aktiv mitgestalten</v>
      </c>
      <c r="C526" s="5">
        <v>45750</v>
      </c>
      <c r="D526" s="5">
        <v>45751</v>
      </c>
      <c r="E526" s="4" t="str">
        <f>"2 Tage"</f>
        <v>2 Tage</v>
      </c>
      <c r="F526" s="6">
        <v>490</v>
      </c>
      <c r="G526" s="4" t="str">
        <f t="shared" ref="G526:G545" si="35">"Fachübergreifendes Seminar"</f>
        <v>Fachübergreifendes Seminar</v>
      </c>
      <c r="H526" s="4" t="s">
        <v>11</v>
      </c>
    </row>
    <row r="527" spans="1:8" x14ac:dyDescent="0.2">
      <c r="A527" s="4" t="str">
        <f>"03.350/001/2025"</f>
        <v>03.350/001/2025</v>
      </c>
      <c r="B527" s="4" t="str">
        <f>"Kundenfreundliche Kommunikation am Telefon"</f>
        <v>Kundenfreundliche Kommunikation am Telefon</v>
      </c>
      <c r="C527" s="5">
        <v>45705</v>
      </c>
      <c r="D527" s="5">
        <v>45706</v>
      </c>
      <c r="E527" s="4" t="str">
        <f>"2 Tage"</f>
        <v>2 Tage</v>
      </c>
      <c r="F527" s="6">
        <v>490</v>
      </c>
      <c r="G527" s="4" t="str">
        <f t="shared" si="35"/>
        <v>Fachübergreifendes Seminar</v>
      </c>
      <c r="H527" s="4" t="s">
        <v>11</v>
      </c>
    </row>
    <row r="528" spans="1:8" x14ac:dyDescent="0.2">
      <c r="A528" s="4" t="str">
        <f>"03.355/001/2025"</f>
        <v>03.355/001/2025</v>
      </c>
      <c r="B528" s="4" t="str">
        <f>"Kommunikation im Außendienst"</f>
        <v>Kommunikation im Außendienst</v>
      </c>
      <c r="C528" s="5">
        <v>45679</v>
      </c>
      <c r="D528" s="5">
        <v>45681</v>
      </c>
      <c r="E528" s="4" t="str">
        <f t="shared" ref="E528:E533" si="36">"3 Tage"</f>
        <v>3 Tage</v>
      </c>
      <c r="F528" s="6">
        <v>760</v>
      </c>
      <c r="G528" s="4" t="str">
        <f t="shared" si="35"/>
        <v>Fachübergreifendes Seminar</v>
      </c>
      <c r="H528" s="4" t="s">
        <v>11</v>
      </c>
    </row>
    <row r="529" spans="1:8" x14ac:dyDescent="0.2">
      <c r="A529" s="4" t="str">
        <f>"03.420/001/2025"</f>
        <v>03.420/001/2025</v>
      </c>
      <c r="B529" s="4" t="str">
        <f>"Umgang mit Konflikten am Arbeitsplatz"</f>
        <v>Umgang mit Konflikten am Arbeitsplatz</v>
      </c>
      <c r="C529" s="5">
        <v>45684</v>
      </c>
      <c r="D529" s="5">
        <v>45686</v>
      </c>
      <c r="E529" s="4" t="str">
        <f t="shared" si="36"/>
        <v>3 Tage</v>
      </c>
      <c r="F529" s="6">
        <v>760</v>
      </c>
      <c r="G529" s="4" t="str">
        <f t="shared" si="35"/>
        <v>Fachübergreifendes Seminar</v>
      </c>
      <c r="H529" s="4" t="s">
        <v>11</v>
      </c>
    </row>
    <row r="530" spans="1:8" x14ac:dyDescent="0.2">
      <c r="A530" s="4" t="str">
        <f>"03.420/002/2025"</f>
        <v>03.420/002/2025</v>
      </c>
      <c r="B530" s="4" t="str">
        <f>"Umgang mit Konflikten am Arbeitsplatz"</f>
        <v>Umgang mit Konflikten am Arbeitsplatz</v>
      </c>
      <c r="C530" s="5">
        <v>45952</v>
      </c>
      <c r="D530" s="5">
        <v>45954</v>
      </c>
      <c r="E530" s="4" t="str">
        <f t="shared" si="36"/>
        <v>3 Tage</v>
      </c>
      <c r="F530" s="6">
        <v>760</v>
      </c>
      <c r="G530" s="4" t="str">
        <f t="shared" si="35"/>
        <v>Fachübergreifendes Seminar</v>
      </c>
      <c r="H530" s="4" t="s">
        <v>11</v>
      </c>
    </row>
    <row r="531" spans="1:8" x14ac:dyDescent="0.2">
      <c r="A531" s="4" t="str">
        <f>"03.425/001/2025"</f>
        <v>03.425/001/2025</v>
      </c>
      <c r="B531" s="4" t="str">
        <f>"Gleich kracht es - Konflikte am Arbeitsplatz"</f>
        <v>Gleich kracht es - Konflikte am Arbeitsplatz</v>
      </c>
      <c r="C531" s="5">
        <v>45945</v>
      </c>
      <c r="D531" s="5">
        <v>45947</v>
      </c>
      <c r="E531" s="4" t="str">
        <f t="shared" si="36"/>
        <v>3 Tage</v>
      </c>
      <c r="F531" s="6">
        <v>760</v>
      </c>
      <c r="G531" s="4" t="str">
        <f t="shared" si="35"/>
        <v>Fachübergreifendes Seminar</v>
      </c>
      <c r="H531" s="4" t="s">
        <v>11</v>
      </c>
    </row>
    <row r="532" spans="1:8" x14ac:dyDescent="0.2">
      <c r="A532" s="4" t="str">
        <f>"03.430/001/2025"</f>
        <v>03.430/001/2025</v>
      </c>
      <c r="B532" s="4" t="str">
        <f>"Wenn aus Stress Konflikte werden - Konfliktkommunikation"</f>
        <v>Wenn aus Stress Konflikte werden - Konfliktkommunikation</v>
      </c>
      <c r="C532" s="5">
        <v>45693</v>
      </c>
      <c r="D532" s="5">
        <v>45695</v>
      </c>
      <c r="E532" s="4" t="str">
        <f t="shared" si="36"/>
        <v>3 Tage</v>
      </c>
      <c r="F532" s="6">
        <v>490</v>
      </c>
      <c r="G532" s="4" t="str">
        <f t="shared" si="35"/>
        <v>Fachübergreifendes Seminar</v>
      </c>
      <c r="H532" s="4" t="s">
        <v>11</v>
      </c>
    </row>
    <row r="533" spans="1:8" x14ac:dyDescent="0.2">
      <c r="A533" s="4" t="str">
        <f>"03.430/002/2025"</f>
        <v>03.430/002/2025</v>
      </c>
      <c r="B533" s="4" t="str">
        <f>"Wenn aus Stress Konflikte werden - Konfliktkommunikation"</f>
        <v>Wenn aus Stress Konflikte werden - Konfliktkommunikation</v>
      </c>
      <c r="C533" s="5">
        <v>45910</v>
      </c>
      <c r="D533" s="5">
        <v>45912</v>
      </c>
      <c r="E533" s="4" t="str">
        <f t="shared" si="36"/>
        <v>3 Tage</v>
      </c>
      <c r="F533" s="6">
        <v>490</v>
      </c>
      <c r="G533" s="4" t="str">
        <f t="shared" si="35"/>
        <v>Fachübergreifendes Seminar</v>
      </c>
      <c r="H533" s="4" t="s">
        <v>11</v>
      </c>
    </row>
    <row r="534" spans="1:8" x14ac:dyDescent="0.2">
      <c r="A534" s="4" t="str">
        <f>"03.435/001/2025"</f>
        <v>03.435/001/2025</v>
      </c>
      <c r="B534" s="4" t="str">
        <f>"Schlagfertigkeit - bei schwierigen oder unsachlichen Einwänden"</f>
        <v>Schlagfertigkeit - bei schwierigen oder unsachlichen Einwänden</v>
      </c>
      <c r="C534" s="5">
        <v>45705</v>
      </c>
      <c r="D534" s="5">
        <v>45706</v>
      </c>
      <c r="E534" s="4" t="str">
        <f t="shared" ref="E534:E545" si="37">"2 Tage"</f>
        <v>2 Tage</v>
      </c>
      <c r="F534" s="6">
        <v>490</v>
      </c>
      <c r="G534" s="4" t="str">
        <f t="shared" si="35"/>
        <v>Fachübergreifendes Seminar</v>
      </c>
      <c r="H534" s="4" t="s">
        <v>11</v>
      </c>
    </row>
    <row r="535" spans="1:8" x14ac:dyDescent="0.2">
      <c r="A535" s="4" t="str">
        <f>"03.435/002/2025"</f>
        <v>03.435/002/2025</v>
      </c>
      <c r="B535" s="4" t="str">
        <f>"Schlagfertigkeit - bei schwierigen oder unsachlichen Einwänden"</f>
        <v>Schlagfertigkeit - bei schwierigen oder unsachlichen Einwänden</v>
      </c>
      <c r="C535" s="5">
        <v>45769</v>
      </c>
      <c r="D535" s="5">
        <v>45770</v>
      </c>
      <c r="E535" s="4" t="str">
        <f t="shared" si="37"/>
        <v>2 Tage</v>
      </c>
      <c r="F535" s="6">
        <v>490</v>
      </c>
      <c r="G535" s="4" t="str">
        <f t="shared" si="35"/>
        <v>Fachübergreifendes Seminar</v>
      </c>
      <c r="H535" s="4" t="s">
        <v>11</v>
      </c>
    </row>
    <row r="536" spans="1:8" x14ac:dyDescent="0.2">
      <c r="A536" s="4" t="str">
        <f>"03.435/003/2025"</f>
        <v>03.435/003/2025</v>
      </c>
      <c r="B536" s="4" t="str">
        <f>"Schlagfertigkeit - bei schwierigen oder unsachlichen Einwänden"</f>
        <v>Schlagfertigkeit - bei schwierigen oder unsachlichen Einwänden</v>
      </c>
      <c r="C536" s="5">
        <v>45852</v>
      </c>
      <c r="D536" s="5">
        <v>45853</v>
      </c>
      <c r="E536" s="4" t="str">
        <f t="shared" si="37"/>
        <v>2 Tage</v>
      </c>
      <c r="F536" s="6">
        <v>490</v>
      </c>
      <c r="G536" s="4" t="str">
        <f t="shared" si="35"/>
        <v>Fachübergreifendes Seminar</v>
      </c>
      <c r="H536" s="4" t="s">
        <v>11</v>
      </c>
    </row>
    <row r="537" spans="1:8" x14ac:dyDescent="0.2">
      <c r="A537" s="4" t="str">
        <f>"03.435/004/2025"</f>
        <v>03.435/004/2025</v>
      </c>
      <c r="B537" s="4" t="str">
        <f>"Schlagfertigkeit - bei schwierigen oder unsachlichen Einwänden"</f>
        <v>Schlagfertigkeit - bei schwierigen oder unsachlichen Einwänden</v>
      </c>
      <c r="C537" s="5">
        <v>45917</v>
      </c>
      <c r="D537" s="5">
        <v>45918</v>
      </c>
      <c r="E537" s="4" t="str">
        <f t="shared" si="37"/>
        <v>2 Tage</v>
      </c>
      <c r="F537" s="6">
        <v>490</v>
      </c>
      <c r="G537" s="4" t="str">
        <f t="shared" si="35"/>
        <v>Fachübergreifendes Seminar</v>
      </c>
      <c r="H537" s="4" t="s">
        <v>11</v>
      </c>
    </row>
    <row r="538" spans="1:8" x14ac:dyDescent="0.2">
      <c r="A538" s="4" t="str">
        <f>"03.440/001/2025"</f>
        <v>03.440/001/2025</v>
      </c>
      <c r="B538" s="4" t="str">
        <f>"Da bin ich sprachlos - Umgang mit verbalen Attacken und unfairen Angriffen"</f>
        <v>Da bin ich sprachlos - Umgang mit verbalen Attacken und unfairen Angriffen</v>
      </c>
      <c r="C538" s="5">
        <v>45722</v>
      </c>
      <c r="D538" s="5">
        <v>45723</v>
      </c>
      <c r="E538" s="4" t="str">
        <f t="shared" si="37"/>
        <v>2 Tage</v>
      </c>
      <c r="F538" s="6">
        <v>490</v>
      </c>
      <c r="G538" s="4" t="str">
        <f t="shared" si="35"/>
        <v>Fachübergreifendes Seminar</v>
      </c>
      <c r="H538" s="4" t="s">
        <v>11</v>
      </c>
    </row>
    <row r="539" spans="1:8" x14ac:dyDescent="0.2">
      <c r="A539" s="4" t="str">
        <f>"03.440/002/2025"</f>
        <v>03.440/002/2025</v>
      </c>
      <c r="B539" s="4" t="str">
        <f>"Da bin ich sprachlos - Umgang mit verbalen Attacken und unfairen Angriffen"</f>
        <v>Da bin ich sprachlos - Umgang mit verbalen Attacken und unfairen Angriffen</v>
      </c>
      <c r="C539" s="5">
        <v>45904</v>
      </c>
      <c r="D539" s="5">
        <v>45905</v>
      </c>
      <c r="E539" s="4" t="str">
        <f t="shared" si="37"/>
        <v>2 Tage</v>
      </c>
      <c r="F539" s="6">
        <v>490</v>
      </c>
      <c r="G539" s="4" t="str">
        <f t="shared" si="35"/>
        <v>Fachübergreifendes Seminar</v>
      </c>
      <c r="H539" s="4" t="s">
        <v>11</v>
      </c>
    </row>
    <row r="540" spans="1:8" x14ac:dyDescent="0.2">
      <c r="A540" s="4" t="str">
        <f>"03.445/001/2025"</f>
        <v>03.445/001/2025</v>
      </c>
      <c r="B540" s="4" t="str">
        <f>"Platte Sprüche und provokante Parolen - nicht sprachlos bleiben"</f>
        <v>Platte Sprüche und provokante Parolen - nicht sprachlos bleiben</v>
      </c>
      <c r="C540" s="5">
        <v>45820</v>
      </c>
      <c r="D540" s="5">
        <v>45821</v>
      </c>
      <c r="E540" s="4" t="str">
        <f t="shared" si="37"/>
        <v>2 Tage</v>
      </c>
      <c r="F540" s="6">
        <v>430</v>
      </c>
      <c r="G540" s="4" t="str">
        <f t="shared" si="35"/>
        <v>Fachübergreifendes Seminar</v>
      </c>
      <c r="H540" s="4" t="s">
        <v>11</v>
      </c>
    </row>
    <row r="541" spans="1:8" x14ac:dyDescent="0.2">
      <c r="A541" s="4" t="str">
        <f>"03.450/001/2025"</f>
        <v>03.450/001/2025</v>
      </c>
      <c r="B541" s="4" t="str">
        <f>"Bedrohliche Situationen kompetent bewältigen"</f>
        <v>Bedrohliche Situationen kompetent bewältigen</v>
      </c>
      <c r="C541" s="5">
        <v>45726</v>
      </c>
      <c r="D541" s="5">
        <v>45727</v>
      </c>
      <c r="E541" s="4" t="str">
        <f t="shared" si="37"/>
        <v>2 Tage</v>
      </c>
      <c r="F541" s="6">
        <v>490</v>
      </c>
      <c r="G541" s="4" t="str">
        <f t="shared" si="35"/>
        <v>Fachübergreifendes Seminar</v>
      </c>
      <c r="H541" s="4" t="s">
        <v>11</v>
      </c>
    </row>
    <row r="542" spans="1:8" x14ac:dyDescent="0.2">
      <c r="A542" s="4" t="str">
        <f>"03.455/001/2025"</f>
        <v>03.455/001/2025</v>
      </c>
      <c r="B542" s="4" t="str">
        <f>"Konfliktmanagement für Führungskräfte"</f>
        <v>Konfliktmanagement für Führungskräfte</v>
      </c>
      <c r="C542" s="5">
        <v>45733</v>
      </c>
      <c r="D542" s="5">
        <v>45734</v>
      </c>
      <c r="E542" s="4" t="str">
        <f t="shared" si="37"/>
        <v>2 Tage</v>
      </c>
      <c r="F542" s="6">
        <v>490</v>
      </c>
      <c r="G542" s="4" t="str">
        <f t="shared" si="35"/>
        <v>Fachübergreifendes Seminar</v>
      </c>
      <c r="H542" s="4" t="s">
        <v>11</v>
      </c>
    </row>
    <row r="543" spans="1:8" x14ac:dyDescent="0.2">
      <c r="A543" s="4" t="str">
        <f>"03.455/002/2025"</f>
        <v>03.455/002/2025</v>
      </c>
      <c r="B543" s="4" t="str">
        <f>"Konfliktmanagement für Führungskräfte"</f>
        <v>Konfliktmanagement für Führungskräfte</v>
      </c>
      <c r="C543" s="5">
        <v>45978</v>
      </c>
      <c r="D543" s="5">
        <v>45979</v>
      </c>
      <c r="E543" s="4" t="str">
        <f t="shared" si="37"/>
        <v>2 Tage</v>
      </c>
      <c r="F543" s="6">
        <v>490</v>
      </c>
      <c r="G543" s="4" t="str">
        <f t="shared" si="35"/>
        <v>Fachübergreifendes Seminar</v>
      </c>
      <c r="H543" s="4" t="s">
        <v>11</v>
      </c>
    </row>
    <row r="544" spans="1:8" x14ac:dyDescent="0.2">
      <c r="A544" s="4" t="str">
        <f>"03.470/001/2025"</f>
        <v>03.470/001/2025</v>
      </c>
      <c r="B544" s="4" t="str">
        <f>"Konfliktmanagement für Frauen"</f>
        <v>Konfliktmanagement für Frauen</v>
      </c>
      <c r="C544" s="5">
        <v>45698</v>
      </c>
      <c r="D544" s="5">
        <v>45699</v>
      </c>
      <c r="E544" s="4" t="str">
        <f t="shared" si="37"/>
        <v>2 Tage</v>
      </c>
      <c r="F544" s="6">
        <v>490</v>
      </c>
      <c r="G544" s="4" t="str">
        <f t="shared" si="35"/>
        <v>Fachübergreifendes Seminar</v>
      </c>
      <c r="H544" s="4" t="s">
        <v>11</v>
      </c>
    </row>
    <row r="545" spans="1:8" x14ac:dyDescent="0.2">
      <c r="A545" s="4" t="str">
        <f>"03.470/002/2025"</f>
        <v>03.470/002/2025</v>
      </c>
      <c r="B545" s="4" t="str">
        <f>"Konfliktmanagement für Frauen"</f>
        <v>Konfliktmanagement für Frauen</v>
      </c>
      <c r="C545" s="5">
        <v>45957</v>
      </c>
      <c r="D545" s="5">
        <v>45958</v>
      </c>
      <c r="E545" s="4" t="str">
        <f t="shared" si="37"/>
        <v>2 Tage</v>
      </c>
      <c r="F545" s="6">
        <v>490</v>
      </c>
      <c r="G545" s="4" t="str">
        <f t="shared" si="35"/>
        <v>Fachübergreifendes Seminar</v>
      </c>
      <c r="H545" s="4" t="s">
        <v>11</v>
      </c>
    </row>
    <row r="546" spans="1:8" x14ac:dyDescent="0.2">
      <c r="A546" s="4" t="str">
        <f>"03.520/001/2025"</f>
        <v>03.520/001/2025</v>
      </c>
      <c r="B546" s="4" t="str">
        <f>"Führen von Arbeitsgruppen und Teams"</f>
        <v>Führen von Arbeitsgruppen und Teams</v>
      </c>
      <c r="C546" s="5">
        <v>45733</v>
      </c>
      <c r="D546" s="5">
        <v>45799</v>
      </c>
      <c r="E546" s="4" t="str">
        <f>"2x3 Tage"</f>
        <v>2x3 Tage</v>
      </c>
      <c r="F546" s="6">
        <v>1510</v>
      </c>
      <c r="G546" s="4"/>
      <c r="H546" s="4" t="s">
        <v>11</v>
      </c>
    </row>
    <row r="547" spans="1:8" x14ac:dyDescent="0.2">
      <c r="A547" s="4" t="str">
        <f>"03.520/001 a/2025"</f>
        <v>03.520/001 a/2025</v>
      </c>
      <c r="B547" s="4" t="str">
        <f>"Führen von Arbeitsgruppen und Teams"</f>
        <v>Führen von Arbeitsgruppen und Teams</v>
      </c>
      <c r="C547" s="5">
        <v>45733</v>
      </c>
      <c r="D547" s="5">
        <v>45735</v>
      </c>
      <c r="E547" s="4"/>
      <c r="F547" s="6" t="s">
        <v>11</v>
      </c>
      <c r="G547" s="4" t="str">
        <f t="shared" ref="G547:G553" si="38">"Fachübergreifendes Seminar"</f>
        <v>Fachübergreifendes Seminar</v>
      </c>
      <c r="H547" s="4" t="s">
        <v>11</v>
      </c>
    </row>
    <row r="548" spans="1:8" x14ac:dyDescent="0.2">
      <c r="A548" s="4" t="str">
        <f>"03.520/001 b/2025"</f>
        <v>03.520/001 b/2025</v>
      </c>
      <c r="B548" s="4" t="str">
        <f>"Führen von Arbeitsgruppen und Teams"</f>
        <v>Führen von Arbeitsgruppen und Teams</v>
      </c>
      <c r="C548" s="5">
        <v>45797</v>
      </c>
      <c r="D548" s="5">
        <v>45799</v>
      </c>
      <c r="E548" s="4"/>
      <c r="F548" s="6" t="s">
        <v>11</v>
      </c>
      <c r="G548" s="4" t="str">
        <f t="shared" si="38"/>
        <v>Fachübergreifendes Seminar</v>
      </c>
      <c r="H548" s="4" t="s">
        <v>11</v>
      </c>
    </row>
    <row r="549" spans="1:8" x14ac:dyDescent="0.2">
      <c r="A549" s="4" t="str">
        <f>"03.522/001/2025"</f>
        <v>03.522/001/2025</v>
      </c>
      <c r="B549" s="4" t="str">
        <f>"Neues Team, neues Glück - erfolgreiches Teambuilding"</f>
        <v>Neues Team, neues Glück - erfolgreiches Teambuilding</v>
      </c>
      <c r="C549" s="5">
        <v>45792</v>
      </c>
      <c r="D549" s="5">
        <v>45793</v>
      </c>
      <c r="E549" s="4" t="str">
        <f t="shared" ref="E549:E554" si="39">"2 Tage"</f>
        <v>2 Tage</v>
      </c>
      <c r="F549" s="6">
        <v>490</v>
      </c>
      <c r="G549" s="4" t="str">
        <f t="shared" si="38"/>
        <v>Fachübergreifendes Seminar</v>
      </c>
      <c r="H549" s="4" t="s">
        <v>11</v>
      </c>
    </row>
    <row r="550" spans="1:8" x14ac:dyDescent="0.2">
      <c r="A550" s="4" t="str">
        <f>"03.525/001/2025"</f>
        <v>03.525/001/2025</v>
      </c>
      <c r="B550" s="4" t="str">
        <f>"Ich und die anderen - Selbstführung im Team"</f>
        <v>Ich und die anderen - Selbstführung im Team</v>
      </c>
      <c r="C550" s="5">
        <v>45792</v>
      </c>
      <c r="D550" s="5">
        <v>45793</v>
      </c>
      <c r="E550" s="4" t="str">
        <f t="shared" si="39"/>
        <v>2 Tage</v>
      </c>
      <c r="F550" s="6">
        <v>490</v>
      </c>
      <c r="G550" s="4" t="str">
        <f t="shared" si="38"/>
        <v>Fachübergreifendes Seminar</v>
      </c>
      <c r="H550" s="4" t="s">
        <v>11</v>
      </c>
    </row>
    <row r="551" spans="1:8" x14ac:dyDescent="0.2">
      <c r="A551" s="4" t="str">
        <f>"03.535/001/2025"</f>
        <v>03.535/001/2025</v>
      </c>
      <c r="B551" s="4" t="str">
        <f>"Neue Wege zur Zusammenarbeit - agile Teamentwicklung"</f>
        <v>Neue Wege zur Zusammenarbeit - agile Teamentwicklung</v>
      </c>
      <c r="C551" s="5">
        <v>45755</v>
      </c>
      <c r="D551" s="5">
        <v>45756</v>
      </c>
      <c r="E551" s="4" t="str">
        <f t="shared" si="39"/>
        <v>2 Tage</v>
      </c>
      <c r="F551" s="6">
        <v>490</v>
      </c>
      <c r="G551" s="4" t="str">
        <f t="shared" si="38"/>
        <v>Fachübergreifendes Seminar</v>
      </c>
      <c r="H551" s="4" t="s">
        <v>11</v>
      </c>
    </row>
    <row r="552" spans="1:8" x14ac:dyDescent="0.2">
      <c r="A552" s="4" t="str">
        <f>"03.540/001/2025"</f>
        <v>03.540/001/2025</v>
      </c>
      <c r="B552" s="4" t="str">
        <f>"Miteinander statt gegeneinander - Konflikte im Team erfolgreich managen"</f>
        <v>Miteinander statt gegeneinander - Konflikte im Team erfolgreich managen</v>
      </c>
      <c r="C552" s="5">
        <v>45804</v>
      </c>
      <c r="D552" s="5">
        <v>45805</v>
      </c>
      <c r="E552" s="4" t="str">
        <f t="shared" si="39"/>
        <v>2 Tage</v>
      </c>
      <c r="F552" s="6">
        <v>490</v>
      </c>
      <c r="G552" s="4" t="str">
        <f t="shared" si="38"/>
        <v>Fachübergreifendes Seminar</v>
      </c>
      <c r="H552" s="4" t="s">
        <v>11</v>
      </c>
    </row>
    <row r="553" spans="1:8" x14ac:dyDescent="0.2">
      <c r="A553" s="4" t="str">
        <f>"03.540/002/2025"</f>
        <v>03.540/002/2025</v>
      </c>
      <c r="B553" s="4" t="str">
        <f>"Miteinander statt gegeneinander - Konflikte im Team erfolgreich managen"</f>
        <v>Miteinander statt gegeneinander - Konflikte im Team erfolgreich managen</v>
      </c>
      <c r="C553" s="5">
        <v>45985</v>
      </c>
      <c r="D553" s="5">
        <v>45986</v>
      </c>
      <c r="E553" s="4" t="str">
        <f t="shared" si="39"/>
        <v>2 Tage</v>
      </c>
      <c r="F553" s="6">
        <v>490</v>
      </c>
      <c r="G553" s="4" t="str">
        <f t="shared" si="38"/>
        <v>Fachübergreifendes Seminar</v>
      </c>
      <c r="H553" s="4" t="s">
        <v>11</v>
      </c>
    </row>
    <row r="554" spans="1:8" x14ac:dyDescent="0.2">
      <c r="A554" s="4" t="str">
        <f>"03.542/001/2025"</f>
        <v>03.542/001/2025</v>
      </c>
      <c r="B554" s="4" t="str">
        <f>"Der Blick nach vorne - Teams neu motivieren"</f>
        <v>Der Blick nach vorne - Teams neu motivieren</v>
      </c>
      <c r="C554" s="5">
        <v>45749</v>
      </c>
      <c r="D554" s="5">
        <v>45750</v>
      </c>
      <c r="E554" s="4" t="str">
        <f t="shared" si="39"/>
        <v>2 Tage</v>
      </c>
      <c r="F554" s="6">
        <v>560</v>
      </c>
      <c r="G554" s="4" t="str">
        <f>"Fachbezogenes Seminar"</f>
        <v>Fachbezogenes Seminar</v>
      </c>
      <c r="H554" s="4" t="s">
        <v>11</v>
      </c>
    </row>
    <row r="555" spans="1:8" x14ac:dyDescent="0.2">
      <c r="A555" s="4" t="str">
        <f>"04.120/001/2025"</f>
        <v>04.120/001/2025</v>
      </c>
      <c r="B555" s="4" t="str">
        <f>"Pressearbeit - Kommunikation mit den Medien"</f>
        <v>Pressearbeit - Kommunikation mit den Medien</v>
      </c>
      <c r="C555" s="5">
        <v>45987</v>
      </c>
      <c r="D555" s="5">
        <v>45989</v>
      </c>
      <c r="E555" s="4" t="str">
        <f>"3 Tage"</f>
        <v>3 Tage</v>
      </c>
      <c r="F555" s="6">
        <v>760</v>
      </c>
      <c r="G555" s="4" t="str">
        <f>"Fachbezogenes Seminar"</f>
        <v>Fachbezogenes Seminar</v>
      </c>
      <c r="H555" s="4" t="s">
        <v>11</v>
      </c>
    </row>
    <row r="556" spans="1:8" x14ac:dyDescent="0.2">
      <c r="A556" s="4" t="str">
        <f>"04.135/001/2025"</f>
        <v>04.135/001/2025</v>
      </c>
      <c r="B556" s="4" t="str">
        <f>"Von der Fachabteilung an die Pressestelle - Informationen für die Medien aufbereiten"</f>
        <v>Von der Fachabteilung an die Pressestelle - Informationen für die Medien aufbereiten</v>
      </c>
      <c r="C556" s="5">
        <v>45838</v>
      </c>
      <c r="D556" s="5">
        <v>45839</v>
      </c>
      <c r="E556" s="4" t="str">
        <f t="shared" ref="E556:E562" si="40">"2 Tage"</f>
        <v>2 Tage</v>
      </c>
      <c r="F556" s="6">
        <v>560</v>
      </c>
      <c r="G556" s="4" t="str">
        <f t="shared" ref="G556:G561" si="41">"Fachübergreifendes Seminar"</f>
        <v>Fachübergreifendes Seminar</v>
      </c>
      <c r="H556" s="4" t="s">
        <v>11</v>
      </c>
    </row>
    <row r="557" spans="1:8" x14ac:dyDescent="0.2">
      <c r="A557" s="4" t="str">
        <f>"04.145/001/2025"</f>
        <v>04.145/001/2025</v>
      </c>
      <c r="B557" s="4" t="str">
        <f>"Das strategische Kommunikationskonzept"</f>
        <v>Das strategische Kommunikationskonzept</v>
      </c>
      <c r="C557" s="5">
        <v>45712</v>
      </c>
      <c r="D557" s="5">
        <v>45713</v>
      </c>
      <c r="E557" s="4" t="str">
        <f t="shared" si="40"/>
        <v>2 Tage</v>
      </c>
      <c r="F557" s="6">
        <v>490</v>
      </c>
      <c r="G557" s="4" t="str">
        <f t="shared" si="41"/>
        <v>Fachübergreifendes Seminar</v>
      </c>
      <c r="H557" s="4" t="s">
        <v>11</v>
      </c>
    </row>
    <row r="558" spans="1:8" x14ac:dyDescent="0.2">
      <c r="A558" s="4" t="str">
        <f>"04.155/001/2025"</f>
        <v>04.155/001/2025</v>
      </c>
      <c r="B558" s="4" t="str">
        <f>"Krisen erkennen, meistern und nutzen - Effektives Krisenmanagement"</f>
        <v>Krisen erkennen, meistern und nutzen - Effektives Krisenmanagement</v>
      </c>
      <c r="C558" s="5">
        <v>45834</v>
      </c>
      <c r="D558" s="5">
        <v>45835</v>
      </c>
      <c r="E558" s="4" t="str">
        <f t="shared" si="40"/>
        <v>2 Tage</v>
      </c>
      <c r="F558" s="6">
        <v>560</v>
      </c>
      <c r="G558" s="4" t="str">
        <f t="shared" si="41"/>
        <v>Fachübergreifendes Seminar</v>
      </c>
      <c r="H558" s="4" t="s">
        <v>11</v>
      </c>
    </row>
    <row r="559" spans="1:8" x14ac:dyDescent="0.2">
      <c r="A559" s="4" t="str">
        <f>"04.160/001/2025"</f>
        <v>04.160/001/2025</v>
      </c>
      <c r="B559" s="4" t="str">
        <f>"Öffentlichkeitswirksame Veranstaltungen professionell organisieren"</f>
        <v>Öffentlichkeitswirksame Veranstaltungen professionell organisieren</v>
      </c>
      <c r="C559" s="5">
        <v>45813</v>
      </c>
      <c r="D559" s="5">
        <v>45814</v>
      </c>
      <c r="E559" s="4" t="str">
        <f t="shared" si="40"/>
        <v>2 Tage</v>
      </c>
      <c r="F559" s="6">
        <v>490</v>
      </c>
      <c r="G559" s="4" t="str">
        <f t="shared" si="41"/>
        <v>Fachübergreifendes Seminar</v>
      </c>
      <c r="H559" s="4" t="s">
        <v>11</v>
      </c>
    </row>
    <row r="560" spans="1:8" x14ac:dyDescent="0.2">
      <c r="A560" s="4" t="str">
        <f>"04.230/001/2025"</f>
        <v>04.230/001/2025</v>
      </c>
      <c r="B560" s="4" t="str">
        <f>"Rechtliche Vorgaben für Internet und Social Media"</f>
        <v>Rechtliche Vorgaben für Internet und Social Media</v>
      </c>
      <c r="C560" s="5">
        <v>45925</v>
      </c>
      <c r="D560" s="5">
        <v>45926</v>
      </c>
      <c r="E560" s="4" t="str">
        <f t="shared" si="40"/>
        <v>2 Tage</v>
      </c>
      <c r="F560" s="6">
        <v>490</v>
      </c>
      <c r="G560" s="4" t="str">
        <f t="shared" si="41"/>
        <v>Fachübergreifendes Seminar</v>
      </c>
      <c r="H560" s="4" t="s">
        <v>11</v>
      </c>
    </row>
    <row r="561" spans="1:8" x14ac:dyDescent="0.2">
      <c r="A561" s="4" t="str">
        <f>"04.255/001/2025"</f>
        <v>04.255/001/2025</v>
      </c>
      <c r="B561" s="4" t="str">
        <f>"Workshop: Videos mit dem Smartphone drehen und schneiden"</f>
        <v>Workshop: Videos mit dem Smartphone drehen und schneiden</v>
      </c>
      <c r="C561" s="5">
        <v>45736</v>
      </c>
      <c r="D561" s="5">
        <v>45737</v>
      </c>
      <c r="E561" s="4" t="str">
        <f t="shared" si="40"/>
        <v>2 Tage</v>
      </c>
      <c r="F561" s="6">
        <v>660</v>
      </c>
      <c r="G561" s="4" t="str">
        <f t="shared" si="41"/>
        <v>Fachübergreifendes Seminar</v>
      </c>
      <c r="H561" s="4" t="s">
        <v>11</v>
      </c>
    </row>
    <row r="562" spans="1:8" x14ac:dyDescent="0.2">
      <c r="A562" s="4" t="str">
        <f>"04.260/001/2025"</f>
        <v>04.260/001/2025</v>
      </c>
      <c r="B562" s="4" t="str">
        <f>"Gute Podcasts - Worauf es ankommt"</f>
        <v>Gute Podcasts - Worauf es ankommt</v>
      </c>
      <c r="C562" s="5">
        <v>45799</v>
      </c>
      <c r="D562" s="5">
        <v>45800</v>
      </c>
      <c r="E562" s="4" t="str">
        <f t="shared" si="40"/>
        <v>2 Tage</v>
      </c>
      <c r="F562" s="6">
        <v>490</v>
      </c>
      <c r="G562" s="4" t="str">
        <f>"Fachbezogenes Seminar"</f>
        <v>Fachbezogenes Seminar</v>
      </c>
      <c r="H562" s="4" t="s">
        <v>11</v>
      </c>
    </row>
    <row r="563" spans="1:8" x14ac:dyDescent="0.2">
      <c r="A563" s="4" t="str">
        <f>"04.320/001/2025"</f>
        <v>04.320/001/2025</v>
      </c>
      <c r="B563" s="4" t="str">
        <f>"Moderne Verwaltungssprache - klar, verständlich, adressatengerecht"</f>
        <v>Moderne Verwaltungssprache - klar, verständlich, adressatengerecht</v>
      </c>
      <c r="C563" s="5">
        <v>45714</v>
      </c>
      <c r="D563" s="5">
        <v>45716</v>
      </c>
      <c r="E563" s="4" t="str">
        <f>"3 Tage"</f>
        <v>3 Tage</v>
      </c>
      <c r="F563" s="6">
        <v>760</v>
      </c>
      <c r="G563" s="4" t="str">
        <f>"Fachübergreifendes Seminar"</f>
        <v>Fachübergreifendes Seminar</v>
      </c>
      <c r="H563" s="4" t="s">
        <v>11</v>
      </c>
    </row>
    <row r="564" spans="1:8" x14ac:dyDescent="0.2">
      <c r="A564" s="4" t="str">
        <f>"04.325/001/2025"</f>
        <v>04.325/001/2025</v>
      </c>
      <c r="B564" s="4" t="str">
        <f>"Damit Ihre Bürgernähe ankommt - punktgenauer Stil in Briefen und Verwaltungstexten"</f>
        <v>Damit Ihre Bürgernähe ankommt - punktgenauer Stil in Briefen und Verwaltungstexten</v>
      </c>
      <c r="C564" s="5">
        <v>45818</v>
      </c>
      <c r="D564" s="5">
        <v>45819</v>
      </c>
      <c r="E564" s="4" t="str">
        <f t="shared" ref="E564:E569" si="42">"2 Tage"</f>
        <v>2 Tage</v>
      </c>
      <c r="F564" s="6">
        <v>490</v>
      </c>
      <c r="G564" s="4" t="str">
        <f>"Fachübergreifendes Seminar"</f>
        <v>Fachübergreifendes Seminar</v>
      </c>
      <c r="H564" s="4" t="s">
        <v>11</v>
      </c>
    </row>
    <row r="565" spans="1:8" x14ac:dyDescent="0.2">
      <c r="A565" s="4" t="str">
        <f>"04.330/001/2025"</f>
        <v>04.330/001/2025</v>
      </c>
      <c r="B565" s="4" t="str">
        <f>"Themensetting und Storytelling - Geschichten entwickeln und nutzen "</f>
        <v xml:space="preserve">Themensetting und Storytelling - Geschichten entwickeln und nutzen </v>
      </c>
      <c r="C565" s="5">
        <v>45736</v>
      </c>
      <c r="D565" s="5">
        <v>45737</v>
      </c>
      <c r="E565" s="4" t="str">
        <f t="shared" si="42"/>
        <v>2 Tage</v>
      </c>
      <c r="F565" s="6">
        <v>490</v>
      </c>
      <c r="G565" s="4" t="str">
        <f>"Fachübergreifendes Seminar"</f>
        <v>Fachübergreifendes Seminar</v>
      </c>
      <c r="H565" s="4" t="s">
        <v>11</v>
      </c>
    </row>
    <row r="566" spans="1:8" x14ac:dyDescent="0.2">
      <c r="A566" s="4" t="str">
        <f>"04.335/001/2025"</f>
        <v>04.335/001/2025</v>
      </c>
      <c r="B566" s="4" t="str">
        <f>"Schreibwerkstatt - auf den Punkt kommen"</f>
        <v>Schreibwerkstatt - auf den Punkt kommen</v>
      </c>
      <c r="C566" s="5">
        <v>45796</v>
      </c>
      <c r="D566" s="5">
        <v>45797</v>
      </c>
      <c r="E566" s="4" t="str">
        <f t="shared" si="42"/>
        <v>2 Tage</v>
      </c>
      <c r="F566" s="6">
        <v>560</v>
      </c>
      <c r="G566" s="4" t="str">
        <f>"Fachübergreifendes Seminar"</f>
        <v>Fachübergreifendes Seminar</v>
      </c>
      <c r="H566" s="4" t="s">
        <v>11</v>
      </c>
    </row>
    <row r="567" spans="1:8" x14ac:dyDescent="0.2">
      <c r="A567" s="4" t="str">
        <f>"04.335/002/2025"</f>
        <v>04.335/002/2025</v>
      </c>
      <c r="B567" s="4" t="str">
        <f>"Schreibwerkstatt - auf den Punkt kommen"</f>
        <v>Schreibwerkstatt - auf den Punkt kommen</v>
      </c>
      <c r="C567" s="5">
        <v>46001</v>
      </c>
      <c r="D567" s="5">
        <v>46002</v>
      </c>
      <c r="E567" s="4" t="str">
        <f t="shared" si="42"/>
        <v>2 Tage</v>
      </c>
      <c r="F567" s="6">
        <v>560</v>
      </c>
      <c r="G567" s="4" t="str">
        <f>"Fachübergreifendes Seminar"</f>
        <v>Fachübergreifendes Seminar</v>
      </c>
      <c r="H567" s="4" t="s">
        <v>11</v>
      </c>
    </row>
    <row r="568" spans="1:8" x14ac:dyDescent="0.2">
      <c r="A568" s="4" t="str">
        <f>"04.337/001/2025"</f>
        <v>04.337/001/2025</v>
      </c>
      <c r="B568" s="4" t="str">
        <f>"Vermerke schreiben - verwaltungsinterne Texte strukturieren und formulieren"</f>
        <v>Vermerke schreiben - verwaltungsinterne Texte strukturieren und formulieren</v>
      </c>
      <c r="C568" s="5">
        <v>45726</v>
      </c>
      <c r="D568" s="5">
        <v>45727</v>
      </c>
      <c r="E568" s="4" t="str">
        <f t="shared" si="42"/>
        <v>2 Tage</v>
      </c>
      <c r="F568" s="6">
        <v>490</v>
      </c>
      <c r="G568" s="4" t="str">
        <f t="shared" ref="G568:G569" si="43">"Fachübergreifendes Seminar"</f>
        <v>Fachübergreifendes Seminar</v>
      </c>
      <c r="H568" s="4" t="s">
        <v>11</v>
      </c>
    </row>
    <row r="569" spans="1:8" x14ac:dyDescent="0.2">
      <c r="A569" s="4" t="str">
        <f>"04.337/002/2025"</f>
        <v>04.337/002/2025</v>
      </c>
      <c r="B569" s="4" t="str">
        <f>"Vermerke schreiben - verwaltungsinterne Texte strukturieren und formulieren"</f>
        <v>Vermerke schreiben - verwaltungsinterne Texte strukturieren und formulieren</v>
      </c>
      <c r="C569" s="5">
        <v>45917</v>
      </c>
      <c r="D569" s="5">
        <v>45918</v>
      </c>
      <c r="E569" s="4" t="str">
        <f t="shared" si="42"/>
        <v>2 Tage</v>
      </c>
      <c r="F569" s="6">
        <v>490</v>
      </c>
      <c r="G569" s="4" t="str">
        <f t="shared" si="43"/>
        <v>Fachübergreifendes Seminar</v>
      </c>
      <c r="H569" s="4" t="s">
        <v>11</v>
      </c>
    </row>
    <row r="570" spans="1:8" x14ac:dyDescent="0.2">
      <c r="A570" s="4" t="str">
        <f>"04.345/001/2025"</f>
        <v>04.345/001/2025</v>
      </c>
      <c r="B570" s="4" t="str">
        <f>"Reden entwerfen und schreiben"</f>
        <v>Reden entwerfen und schreiben</v>
      </c>
      <c r="C570" s="5">
        <v>45671</v>
      </c>
      <c r="D570" s="5">
        <v>45673</v>
      </c>
      <c r="E570" s="4" t="str">
        <f>"3 Tage"</f>
        <v>3 Tage</v>
      </c>
      <c r="F570" s="6">
        <v>860</v>
      </c>
      <c r="G570" s="4" t="str">
        <f>"Fachübergreifendes Seminar"</f>
        <v>Fachübergreifendes Seminar</v>
      </c>
      <c r="H570" s="4" t="s">
        <v>11</v>
      </c>
    </row>
    <row r="571" spans="1:8" x14ac:dyDescent="0.2">
      <c r="A571" s="4" t="str">
        <f>"04.345/002/2025"</f>
        <v>04.345/002/2025</v>
      </c>
      <c r="B571" s="4" t="str">
        <f>"Reden entwerfen und schreiben"</f>
        <v>Reden entwerfen und schreiben</v>
      </c>
      <c r="C571" s="5">
        <v>45917</v>
      </c>
      <c r="D571" s="5">
        <v>45919</v>
      </c>
      <c r="E571" s="4" t="str">
        <f>"3 Tage"</f>
        <v>3 Tage</v>
      </c>
      <c r="F571" s="6">
        <v>860</v>
      </c>
      <c r="G571" s="4" t="str">
        <f>"Fachübergreifendes Seminar"</f>
        <v>Fachübergreifendes Seminar</v>
      </c>
      <c r="H571" s="4" t="s">
        <v>11</v>
      </c>
    </row>
    <row r="572" spans="1:8" x14ac:dyDescent="0.2">
      <c r="A572" s="4" t="str">
        <f>"05.110/001/2025"</f>
        <v>05.110/001/2025</v>
      </c>
      <c r="B572" s="4" t="str">
        <f>"Das Tätigkeitsfeld der Gleichstellungsbeauftragten inkl. rechtlicher Aspekte - Einführung"</f>
        <v>Das Tätigkeitsfeld der Gleichstellungsbeauftragten inkl. rechtlicher Aspekte - Einführung</v>
      </c>
      <c r="C572" s="5">
        <v>45670</v>
      </c>
      <c r="D572" s="5">
        <v>45672</v>
      </c>
      <c r="E572" s="4" t="str">
        <f>"3 Tage"</f>
        <v>3 Tage</v>
      </c>
      <c r="F572" s="6">
        <v>980</v>
      </c>
      <c r="G572" s="4" t="str">
        <f>"Fachübergreifendes Seminar"</f>
        <v>Fachübergreifendes Seminar</v>
      </c>
      <c r="H572" s="4" t="s">
        <v>11</v>
      </c>
    </row>
    <row r="573" spans="1:8" x14ac:dyDescent="0.2">
      <c r="A573" s="4" t="str">
        <f>"05.110/002/2025"</f>
        <v>05.110/002/2025</v>
      </c>
      <c r="B573" s="4" t="str">
        <f>"Das Tätigkeitsfeld der Gleichstellungsbeauftragten inkl. rechtlicher Aspekte - Einführung"</f>
        <v>Das Tätigkeitsfeld der Gleichstellungsbeauftragten inkl. rechtlicher Aspekte - Einführung</v>
      </c>
      <c r="C573" s="5">
        <v>45866</v>
      </c>
      <c r="D573" s="5">
        <v>45868</v>
      </c>
      <c r="E573" s="4" t="str">
        <f>"3 Tage"</f>
        <v>3 Tage</v>
      </c>
      <c r="F573" s="6">
        <v>980</v>
      </c>
      <c r="G573" s="4" t="str">
        <f>"Fachübergreifendes Seminar"</f>
        <v>Fachübergreifendes Seminar</v>
      </c>
      <c r="H573" s="4" t="s">
        <v>11</v>
      </c>
    </row>
    <row r="574" spans="1:8" x14ac:dyDescent="0.2">
      <c r="A574" s="4" t="str">
        <f>"05.120/001/2025"</f>
        <v>05.120/001/2025</v>
      </c>
      <c r="B574" s="4" t="str">
        <f>"Das Tätigkeitsfeld der Gleichstellungsbeauftragten inkl. rechtlicher Aspekte - Vertiefung"</f>
        <v>Das Tätigkeitsfeld der Gleichstellungsbeauftragten inkl. rechtlicher Aspekte - Vertiefung</v>
      </c>
      <c r="C574" s="5">
        <v>46002</v>
      </c>
      <c r="D574" s="5">
        <v>46003</v>
      </c>
      <c r="E574" s="4" t="str">
        <f>"2 Tage"</f>
        <v>2 Tage</v>
      </c>
      <c r="F574" s="6">
        <v>630</v>
      </c>
      <c r="G574" s="4" t="str">
        <f>"Fachübergreifendes Seminar"</f>
        <v>Fachübergreifendes Seminar</v>
      </c>
      <c r="H574" s="4" t="s">
        <v>11</v>
      </c>
    </row>
    <row r="575" spans="1:8" x14ac:dyDescent="0.2">
      <c r="A575" s="4" t="str">
        <f>"05.130/001/2025"</f>
        <v>05.130/001/2025</v>
      </c>
      <c r="B575" s="4" t="str">
        <f>"Gleichstellung in a nutshell: Basiswissen für Gleichstellungsbeauftragte"</f>
        <v>Gleichstellung in a nutshell: Basiswissen für Gleichstellungsbeauftragte</v>
      </c>
      <c r="C575" s="5">
        <v>45932</v>
      </c>
      <c r="D575" s="5">
        <v>45932</v>
      </c>
      <c r="E575" s="4" t="str">
        <f>"1 Tag"</f>
        <v>1 Tag</v>
      </c>
      <c r="F575" s="6">
        <v>240</v>
      </c>
      <c r="G575" s="4" t="str">
        <f>"Fachbezogenes Seminar"</f>
        <v>Fachbezogenes Seminar</v>
      </c>
      <c r="H575" s="4" t="s">
        <v>11</v>
      </c>
    </row>
    <row r="576" spans="1:8" x14ac:dyDescent="0.2">
      <c r="A576" s="4" t="str">
        <f>"05.140/001/2025"</f>
        <v>05.140/001/2025</v>
      </c>
      <c r="B576" s="4" t="str">
        <f>"Kompetent im Beurteilungsverfahren - für Gleichstellungsbeauftragte"</f>
        <v>Kompetent im Beurteilungsverfahren - für Gleichstellungsbeauftragte</v>
      </c>
      <c r="C576" s="5">
        <v>45838</v>
      </c>
      <c r="D576" s="5">
        <v>45839</v>
      </c>
      <c r="E576" s="4" t="str">
        <f>"2 Tage"</f>
        <v>2 Tage</v>
      </c>
      <c r="F576" s="6">
        <v>760</v>
      </c>
      <c r="G576" s="4" t="str">
        <f>"Fachübergreifendes Seminar"</f>
        <v>Fachübergreifendes Seminar</v>
      </c>
      <c r="H576" s="4" t="s">
        <v>11</v>
      </c>
    </row>
    <row r="577" spans="1:8" x14ac:dyDescent="0.2">
      <c r="A577" s="4" t="str">
        <f>"05.150/001/2025"</f>
        <v>05.150/001/2025</v>
      </c>
      <c r="B577" s="4" t="str">
        <f>"Gender-Mainstreaming: eine Strategie der Gleichstellungsarbeit"</f>
        <v>Gender-Mainstreaming: eine Strategie der Gleichstellungsarbeit</v>
      </c>
      <c r="C577" s="5">
        <v>45957</v>
      </c>
      <c r="D577" s="5">
        <v>45957</v>
      </c>
      <c r="E577" s="4" t="str">
        <f>"1 Tag"</f>
        <v>1 Tag</v>
      </c>
      <c r="F577" s="6">
        <v>220</v>
      </c>
      <c r="G577" s="4" t="str">
        <f>"Fachübergreifendes Seminar"</f>
        <v>Fachübergreifendes Seminar</v>
      </c>
      <c r="H577" s="4" t="s">
        <v>11</v>
      </c>
    </row>
    <row r="578" spans="1:8" x14ac:dyDescent="0.2">
      <c r="A578" s="4" t="str">
        <f>"05.160/001/2025"</f>
        <v>05.160/001/2025</v>
      </c>
      <c r="B578" s="4" t="str">
        <f>"Netzwerkstatt Gleichstellungsbeauftragte"</f>
        <v>Netzwerkstatt Gleichstellungsbeauftragte</v>
      </c>
      <c r="C578" s="5">
        <v>45684</v>
      </c>
      <c r="D578" s="5">
        <v>46134</v>
      </c>
      <c r="E578" s="4" t="str">
        <f>"3x2 Tage"</f>
        <v>3x2 Tage</v>
      </c>
      <c r="F578" s="6">
        <v>1580</v>
      </c>
      <c r="G578" s="4"/>
      <c r="H578" s="4" t="s">
        <v>11</v>
      </c>
    </row>
    <row r="579" spans="1:8" x14ac:dyDescent="0.2">
      <c r="A579" s="4" t="str">
        <f>"05.160/001 a/2025"</f>
        <v>05.160/001 a/2025</v>
      </c>
      <c r="B579" s="4" t="str">
        <f>"Netzwerkstatt Gleichstellungsbeauftragte"</f>
        <v>Netzwerkstatt Gleichstellungsbeauftragte</v>
      </c>
      <c r="C579" s="5">
        <v>45684</v>
      </c>
      <c r="D579" s="5">
        <v>45685</v>
      </c>
      <c r="E579" s="4"/>
      <c r="F579" s="6" t="s">
        <v>11</v>
      </c>
      <c r="G579" s="4" t="str">
        <f t="shared" ref="G579:G584" si="44">"Fachbezogenes Seminar"</f>
        <v>Fachbezogenes Seminar</v>
      </c>
      <c r="H579" s="4" t="s">
        <v>11</v>
      </c>
    </row>
    <row r="580" spans="1:8" x14ac:dyDescent="0.2">
      <c r="A580" s="4" t="str">
        <f>"05.160/001 b/2025"</f>
        <v>05.160/001 b/2025</v>
      </c>
      <c r="B580" s="4" t="str">
        <f>"Netzwerkstatt Gleichstellungsbeauftragte"</f>
        <v>Netzwerkstatt Gleichstellungsbeauftragte</v>
      </c>
      <c r="C580" s="5">
        <v>45911</v>
      </c>
      <c r="D580" s="5">
        <v>45912</v>
      </c>
      <c r="E580" s="4"/>
      <c r="F580" s="6" t="s">
        <v>11</v>
      </c>
      <c r="G580" s="4" t="str">
        <f t="shared" si="44"/>
        <v>Fachbezogenes Seminar</v>
      </c>
      <c r="H580" s="4" t="s">
        <v>11</v>
      </c>
    </row>
    <row r="581" spans="1:8" x14ac:dyDescent="0.2">
      <c r="A581" s="4" t="str">
        <f>"05.160/001 c/2025"</f>
        <v>05.160/001 c/2025</v>
      </c>
      <c r="B581" s="4" t="str">
        <f>"Netzwerkstatt Gleichstellungsbeauftragte"</f>
        <v>Netzwerkstatt Gleichstellungsbeauftragte</v>
      </c>
      <c r="C581" s="5">
        <v>46133</v>
      </c>
      <c r="D581" s="5">
        <v>46134</v>
      </c>
      <c r="E581" s="4"/>
      <c r="F581" s="6" t="s">
        <v>11</v>
      </c>
      <c r="G581" s="4" t="str">
        <f t="shared" si="44"/>
        <v>Fachbezogenes Seminar</v>
      </c>
      <c r="H581" s="4" t="s">
        <v>11</v>
      </c>
    </row>
    <row r="582" spans="1:8" x14ac:dyDescent="0.2">
      <c r="A582" s="4" t="str">
        <f>"05.170/001/2025"</f>
        <v>05.170/001/2025</v>
      </c>
      <c r="B582" s="4" t="str">
        <f>"Präsenztraining für Gleichstellungsbeauftragte"</f>
        <v>Präsenztraining für Gleichstellungsbeauftragte</v>
      </c>
      <c r="C582" s="5">
        <v>45726</v>
      </c>
      <c r="D582" s="5">
        <v>45727</v>
      </c>
      <c r="E582" s="4" t="str">
        <f>"2 Tage"</f>
        <v>2 Tage</v>
      </c>
      <c r="F582" s="6">
        <v>560</v>
      </c>
      <c r="G582" s="4" t="str">
        <f t="shared" si="44"/>
        <v>Fachbezogenes Seminar</v>
      </c>
      <c r="H582" s="4" t="s">
        <v>11</v>
      </c>
    </row>
    <row r="583" spans="1:8" x14ac:dyDescent="0.2">
      <c r="A583" s="4" t="str">
        <f>"05.170/002/2025"</f>
        <v>05.170/002/2025</v>
      </c>
      <c r="B583" s="4" t="str">
        <f>"Präsenztraining für Gleichstellungsbeauftragte"</f>
        <v>Präsenztraining für Gleichstellungsbeauftragte</v>
      </c>
      <c r="C583" s="5">
        <v>45958</v>
      </c>
      <c r="D583" s="5">
        <v>45959</v>
      </c>
      <c r="E583" s="4" t="str">
        <f>"2 Tage"</f>
        <v>2 Tage</v>
      </c>
      <c r="F583" s="6">
        <v>560</v>
      </c>
      <c r="G583" s="4" t="str">
        <f t="shared" si="44"/>
        <v>Fachbezogenes Seminar</v>
      </c>
      <c r="H583" s="4" t="s">
        <v>11</v>
      </c>
    </row>
    <row r="584" spans="1:8" x14ac:dyDescent="0.2">
      <c r="A584" s="4" t="str">
        <f>"05.210/001/2025"</f>
        <v>05.210/001/2025</v>
      </c>
      <c r="B584" s="4" t="str">
        <f>"Wege aus der Gender-Falle: Einführung"</f>
        <v>Wege aus der Gender-Falle: Einführung</v>
      </c>
      <c r="C584" s="5">
        <v>45818</v>
      </c>
      <c r="D584" s="5">
        <v>45819</v>
      </c>
      <c r="E584" s="4" t="str">
        <f>"2Tage"</f>
        <v>2Tage</v>
      </c>
      <c r="F584" s="6">
        <v>490</v>
      </c>
      <c r="G584" s="4" t="str">
        <f t="shared" si="44"/>
        <v>Fachbezogenes Seminar</v>
      </c>
      <c r="H584" s="4" t="s">
        <v>11</v>
      </c>
    </row>
    <row r="585" spans="1:8" x14ac:dyDescent="0.2">
      <c r="A585" s="4" t="str">
        <f>"05.230/001/2025"</f>
        <v>05.230/001/2025</v>
      </c>
      <c r="B585" s="4" t="str">
        <f>"Inklusive Vielfalt - Grundlagen eines diversityorientierten Perspektivwechsels"</f>
        <v>Inklusive Vielfalt - Grundlagen eines diversityorientierten Perspektivwechsels</v>
      </c>
      <c r="C585" s="5">
        <v>45996</v>
      </c>
      <c r="D585" s="5">
        <v>45996</v>
      </c>
      <c r="E585" s="4" t="str">
        <f>"1 Tag"</f>
        <v>1 Tag</v>
      </c>
      <c r="F585" s="6">
        <v>220</v>
      </c>
      <c r="G585" s="4" t="str">
        <f>"Fachübergreifendes Seminar"</f>
        <v>Fachübergreifendes Seminar</v>
      </c>
      <c r="H585" s="4" t="s">
        <v>11</v>
      </c>
    </row>
    <row r="586" spans="1:8" x14ac:dyDescent="0.2">
      <c r="A586" s="4" t="str">
        <f>"05.240/001/2025"</f>
        <v>05.240/001/2025</v>
      </c>
      <c r="B586" s="4" t="str">
        <f>"Vielfältige Verwaltung - Queer leben und arbeiten"</f>
        <v>Vielfältige Verwaltung - Queer leben und arbeiten</v>
      </c>
      <c r="C586" s="5">
        <v>45680</v>
      </c>
      <c r="D586" s="5">
        <v>45681</v>
      </c>
      <c r="E586" s="4" t="str">
        <f>"2 Tage"</f>
        <v>2 Tage</v>
      </c>
      <c r="F586" s="6">
        <v>490</v>
      </c>
      <c r="G586" s="4" t="str">
        <f>"Fachübergreifendes Seminar"</f>
        <v>Fachübergreifendes Seminar</v>
      </c>
      <c r="H586" s="4" t="s">
        <v>11</v>
      </c>
    </row>
    <row r="587" spans="1:8" x14ac:dyDescent="0.2">
      <c r="A587" s="4" t="str">
        <f>"05.250/001/2025"</f>
        <v>05.250/001/2025</v>
      </c>
      <c r="B587" s="4" t="str">
        <f>"Zwischen Fürsorgearbeit und Erwerbstätigkeit: Vereinbarkeit, Verantwortung und Vision - Blended Learning"</f>
        <v>Zwischen Fürsorgearbeit und Erwerbstätigkeit: Vereinbarkeit, Verantwortung und Vision - Blended Learning</v>
      </c>
      <c r="C587" s="5">
        <v>45674</v>
      </c>
      <c r="D587" s="5">
        <v>45902</v>
      </c>
      <c r="E587" s="4" t="str">
        <f>"1x1 Tag Präsenz 2x1 Tag Online"</f>
        <v>1x1 Tag Präsenz 2x1 Tag Online</v>
      </c>
      <c r="F587" s="6">
        <v>530</v>
      </c>
      <c r="G587" s="4"/>
      <c r="H587" s="4" t="s">
        <v>11</v>
      </c>
    </row>
    <row r="588" spans="1:8" x14ac:dyDescent="0.2">
      <c r="A588" s="4" t="str">
        <f>"05.250/001 a/2025"</f>
        <v>05.250/001 a/2025</v>
      </c>
      <c r="B588" s="4" t="str">
        <f>"Zwischen Fürsorgearbeit und Erwerbstätigkeit: Vereinbarkeit, Verantwortung und Vision"</f>
        <v>Zwischen Fürsorgearbeit und Erwerbstätigkeit: Vereinbarkeit, Verantwortung und Vision</v>
      </c>
      <c r="C588" s="5">
        <v>45674</v>
      </c>
      <c r="D588" s="5">
        <v>45674</v>
      </c>
      <c r="E588" s="4"/>
      <c r="F588" s="6" t="s">
        <v>11</v>
      </c>
      <c r="G588" s="4" t="str">
        <f t="shared" ref="G588:G607" si="45">"Fachübergreifendes Seminar"</f>
        <v>Fachübergreifendes Seminar</v>
      </c>
      <c r="H588" s="4" t="s">
        <v>11</v>
      </c>
    </row>
    <row r="589" spans="1:8" x14ac:dyDescent="0.2">
      <c r="A589" s="4" t="str">
        <f>"05.250/001 b/2025"</f>
        <v>05.250/001 b/2025</v>
      </c>
      <c r="B589" s="4" t="str">
        <f>"Zwischen Fürsorgearbeit und Erwerbstätigkeit: Vereinbarkeit, Verantwortung und Vision"</f>
        <v>Zwischen Fürsorgearbeit und Erwerbstätigkeit: Vereinbarkeit, Verantwortung und Vision</v>
      </c>
      <c r="C589" s="5">
        <v>45729</v>
      </c>
      <c r="D589" s="5">
        <v>45729</v>
      </c>
      <c r="E589" s="4"/>
      <c r="F589" s="6" t="s">
        <v>11</v>
      </c>
      <c r="G589" s="4" t="str">
        <f t="shared" si="45"/>
        <v>Fachübergreifendes Seminar</v>
      </c>
      <c r="H589" s="4" t="s">
        <v>11</v>
      </c>
    </row>
    <row r="590" spans="1:8" x14ac:dyDescent="0.2">
      <c r="A590" s="4" t="str">
        <f>"05.250/001 c/2025"</f>
        <v>05.250/001 c/2025</v>
      </c>
      <c r="B590" s="4" t="str">
        <f>"Zwischen Fürsorgearbeit und Erwerbstätigkeit: Vereinbarkeit, Verantwortung und Vision"</f>
        <v>Zwischen Fürsorgearbeit und Erwerbstätigkeit: Vereinbarkeit, Verantwortung und Vision</v>
      </c>
      <c r="C590" s="5">
        <v>45902</v>
      </c>
      <c r="D590" s="5">
        <v>45902</v>
      </c>
      <c r="E590" s="4"/>
      <c r="F590" s="6" t="s">
        <v>11</v>
      </c>
      <c r="G590" s="4" t="str">
        <f t="shared" si="45"/>
        <v>Fachübergreifendes Seminar</v>
      </c>
      <c r="H590" s="4" t="s">
        <v>11</v>
      </c>
    </row>
    <row r="591" spans="1:8" x14ac:dyDescent="0.2">
      <c r="A591" s="4" t="str">
        <f>"05.260/001/2025"</f>
        <v>05.260/001/2025</v>
      </c>
      <c r="B591" s="4" t="str">
        <f>"Spielregeln und Stereotype im Job Schwerpunkt Geschlechterdynamiken "</f>
        <v xml:space="preserve">Spielregeln und Stereotype im Job Schwerpunkt Geschlechterdynamiken </v>
      </c>
      <c r="C591" s="5">
        <v>45894</v>
      </c>
      <c r="D591" s="5">
        <v>45894</v>
      </c>
      <c r="E591" s="4" t="str">
        <f>"1 Tag"</f>
        <v>1 Tag</v>
      </c>
      <c r="F591" s="6">
        <v>230</v>
      </c>
      <c r="G591" s="4" t="str">
        <f t="shared" si="45"/>
        <v>Fachübergreifendes Seminar</v>
      </c>
      <c r="H591" s="4" t="s">
        <v>11</v>
      </c>
    </row>
    <row r="592" spans="1:8" x14ac:dyDescent="0.2">
      <c r="A592" s="4" t="str">
        <f>"05.280/001/2025"</f>
        <v>05.280/001/2025</v>
      </c>
      <c r="B592" s="4" t="str">
        <f>"Fit für Vielfalt - kultursensibel entscheiden und handeln in der Landesverwaltung"</f>
        <v>Fit für Vielfalt - kultursensibel entscheiden und handeln in der Landesverwaltung</v>
      </c>
      <c r="C592" s="5">
        <v>45959</v>
      </c>
      <c r="D592" s="5">
        <v>45960</v>
      </c>
      <c r="E592" s="4" t="str">
        <f t="shared" ref="E592:E605" si="46">"2 Tage"</f>
        <v>2 Tage</v>
      </c>
      <c r="F592" s="6">
        <v>560</v>
      </c>
      <c r="G592" s="4" t="str">
        <f t="shared" si="45"/>
        <v>Fachübergreifendes Seminar</v>
      </c>
      <c r="H592" s="4" t="s">
        <v>11</v>
      </c>
    </row>
    <row r="593" spans="1:8" x14ac:dyDescent="0.2">
      <c r="A593" s="4" t="str">
        <f>"05.310/001/2025"</f>
        <v>05.310/001/2025</v>
      </c>
      <c r="B593" s="4" t="str">
        <f>"Life-Balance für Hörgeschädigte und Gehörlose"</f>
        <v>Life-Balance für Hörgeschädigte und Gehörlose</v>
      </c>
      <c r="C593" s="5">
        <v>45712</v>
      </c>
      <c r="D593" s="5">
        <v>45713</v>
      </c>
      <c r="E593" s="4" t="str">
        <f t="shared" si="46"/>
        <v>2 Tage</v>
      </c>
      <c r="F593" s="6">
        <v>490</v>
      </c>
      <c r="G593" s="4" t="str">
        <f t="shared" si="45"/>
        <v>Fachübergreifendes Seminar</v>
      </c>
      <c r="H593" s="4" t="s">
        <v>11</v>
      </c>
    </row>
    <row r="594" spans="1:8" x14ac:dyDescent="0.2">
      <c r="A594" s="4" t="str">
        <f>"05.315/001/2025"</f>
        <v>05.315/001/2025</v>
      </c>
      <c r="B594" s="4" t="str">
        <f>"Workshop: Gehörlose, Hörgeminderte und Hörende im Dialog"</f>
        <v>Workshop: Gehörlose, Hörgeminderte und Hörende im Dialog</v>
      </c>
      <c r="C594" s="5">
        <v>45740</v>
      </c>
      <c r="D594" s="5">
        <v>45741</v>
      </c>
      <c r="E594" s="4" t="str">
        <f t="shared" si="46"/>
        <v>2 Tage</v>
      </c>
      <c r="F594" s="6">
        <v>490</v>
      </c>
      <c r="G594" s="4" t="str">
        <f t="shared" si="45"/>
        <v>Fachübergreifendes Seminar</v>
      </c>
      <c r="H594" s="4" t="s">
        <v>11</v>
      </c>
    </row>
    <row r="595" spans="1:8" x14ac:dyDescent="0.2">
      <c r="A595" s="4" t="str">
        <f>"06.110/001/2025"</f>
        <v>06.110/001/2025</v>
      </c>
      <c r="B595" s="4" t="str">
        <f>"Persönliche Arbeits- und Organisationstechnik"</f>
        <v>Persönliche Arbeits- und Organisationstechnik</v>
      </c>
      <c r="C595" s="5">
        <v>45740</v>
      </c>
      <c r="D595" s="5">
        <v>45741</v>
      </c>
      <c r="E595" s="4" t="str">
        <f t="shared" si="46"/>
        <v>2 Tage</v>
      </c>
      <c r="F595" s="6">
        <v>490</v>
      </c>
      <c r="G595" s="4" t="str">
        <f t="shared" si="45"/>
        <v>Fachübergreifendes Seminar</v>
      </c>
      <c r="H595" s="4" t="s">
        <v>11</v>
      </c>
    </row>
    <row r="596" spans="1:8" x14ac:dyDescent="0.2">
      <c r="A596" s="4" t="str">
        <f>"06.110/002/2025"</f>
        <v>06.110/002/2025</v>
      </c>
      <c r="B596" s="4" t="str">
        <f>"Persönliche Arbeits- und Organisationstechnik"</f>
        <v>Persönliche Arbeits- und Organisationstechnik</v>
      </c>
      <c r="C596" s="5">
        <v>45845</v>
      </c>
      <c r="D596" s="5">
        <v>45846</v>
      </c>
      <c r="E596" s="4" t="str">
        <f t="shared" si="46"/>
        <v>2 Tage</v>
      </c>
      <c r="F596" s="6">
        <v>490</v>
      </c>
      <c r="G596" s="4" t="str">
        <f t="shared" si="45"/>
        <v>Fachübergreifendes Seminar</v>
      </c>
      <c r="H596" s="4" t="s">
        <v>11</v>
      </c>
    </row>
    <row r="597" spans="1:8" x14ac:dyDescent="0.2">
      <c r="A597" s="4" t="str">
        <f>"06.110/003/2025"</f>
        <v>06.110/003/2025</v>
      </c>
      <c r="B597" s="4" t="str">
        <f>"Persönliche Arbeits- und Organisationstechnik"</f>
        <v>Persönliche Arbeits- und Organisationstechnik</v>
      </c>
      <c r="C597" s="5">
        <v>45922</v>
      </c>
      <c r="D597" s="5">
        <v>45923</v>
      </c>
      <c r="E597" s="4" t="str">
        <f t="shared" si="46"/>
        <v>2 Tage</v>
      </c>
      <c r="F597" s="6">
        <v>490</v>
      </c>
      <c r="G597" s="4" t="str">
        <f t="shared" si="45"/>
        <v>Fachübergreifendes Seminar</v>
      </c>
      <c r="H597" s="4" t="s">
        <v>11</v>
      </c>
    </row>
    <row r="598" spans="1:8" x14ac:dyDescent="0.2">
      <c r="A598" s="4" t="str">
        <f>"06.115/001/2025"</f>
        <v>06.115/001/2025</v>
      </c>
      <c r="B598" s="4" t="str">
        <f>"Effektives Zeit- und Selbstmanagement"</f>
        <v>Effektives Zeit- und Selbstmanagement</v>
      </c>
      <c r="C598" s="5">
        <v>45720</v>
      </c>
      <c r="D598" s="5">
        <v>45721</v>
      </c>
      <c r="E598" s="4" t="str">
        <f t="shared" si="46"/>
        <v>2 Tage</v>
      </c>
      <c r="F598" s="6">
        <v>490</v>
      </c>
      <c r="G598" s="4" t="str">
        <f t="shared" si="45"/>
        <v>Fachübergreifendes Seminar</v>
      </c>
      <c r="H598" s="4" t="s">
        <v>11</v>
      </c>
    </row>
    <row r="599" spans="1:8" x14ac:dyDescent="0.2">
      <c r="A599" s="4" t="str">
        <f>"06.115/002/2025"</f>
        <v>06.115/002/2025</v>
      </c>
      <c r="B599" s="4" t="str">
        <f>"Effektives Zeit- und Selbstmanagement"</f>
        <v>Effektives Zeit- und Selbstmanagement</v>
      </c>
      <c r="C599" s="5">
        <v>45833</v>
      </c>
      <c r="D599" s="5">
        <v>45834</v>
      </c>
      <c r="E599" s="4" t="str">
        <f t="shared" si="46"/>
        <v>2 Tage</v>
      </c>
      <c r="F599" s="6">
        <v>490</v>
      </c>
      <c r="G599" s="4" t="str">
        <f t="shared" si="45"/>
        <v>Fachübergreifendes Seminar</v>
      </c>
      <c r="H599" s="4" t="s">
        <v>11</v>
      </c>
    </row>
    <row r="600" spans="1:8" x14ac:dyDescent="0.2">
      <c r="A600" s="4" t="str">
        <f>"06.115/004/2025"</f>
        <v>06.115/004/2025</v>
      </c>
      <c r="B600" s="4" t="str">
        <f>"Effektives Zeit- und Selbstmanagement"</f>
        <v>Effektives Zeit- und Selbstmanagement</v>
      </c>
      <c r="C600" s="5">
        <v>45985</v>
      </c>
      <c r="D600" s="5">
        <v>45986</v>
      </c>
      <c r="E600" s="4" t="str">
        <f t="shared" si="46"/>
        <v>2 Tage</v>
      </c>
      <c r="F600" s="6">
        <v>490</v>
      </c>
      <c r="G600" s="4" t="str">
        <f t="shared" si="45"/>
        <v>Fachübergreifendes Seminar</v>
      </c>
      <c r="H600" s="4" t="s">
        <v>11</v>
      </c>
    </row>
    <row r="601" spans="1:8" x14ac:dyDescent="0.2">
      <c r="A601" s="4" t="str">
        <f>"06.120/001/2025"</f>
        <v>06.120/001/2025</v>
      </c>
      <c r="B601" s="4" t="str">
        <f>"Zeitmanagement und Telearbeit - wie passt das zusammen?"</f>
        <v>Zeitmanagement und Telearbeit - wie passt das zusammen?</v>
      </c>
      <c r="C601" s="5">
        <v>45748</v>
      </c>
      <c r="D601" s="5">
        <v>45749</v>
      </c>
      <c r="E601" s="4" t="str">
        <f t="shared" si="46"/>
        <v>2 Tage</v>
      </c>
      <c r="F601" s="6">
        <v>490</v>
      </c>
      <c r="G601" s="4" t="str">
        <f t="shared" si="45"/>
        <v>Fachübergreifendes Seminar</v>
      </c>
      <c r="H601" s="4" t="s">
        <v>11</v>
      </c>
    </row>
    <row r="602" spans="1:8" x14ac:dyDescent="0.2">
      <c r="A602" s="4" t="str">
        <f>"06.125/001/2025"</f>
        <v>06.125/001/2025</v>
      </c>
      <c r="B602" s="4" t="str">
        <f>"Polychrones Zeitmanagement"</f>
        <v>Polychrones Zeitmanagement</v>
      </c>
      <c r="C602" s="5">
        <v>45853</v>
      </c>
      <c r="D602" s="5">
        <v>45854</v>
      </c>
      <c r="E602" s="4" t="str">
        <f t="shared" si="46"/>
        <v>2 Tage</v>
      </c>
      <c r="F602" s="6">
        <v>490</v>
      </c>
      <c r="G602" s="4" t="str">
        <f t="shared" si="45"/>
        <v>Fachübergreifendes Seminar</v>
      </c>
      <c r="H602" s="4" t="s">
        <v>11</v>
      </c>
    </row>
    <row r="603" spans="1:8" x14ac:dyDescent="0.2">
      <c r="A603" s="4" t="str">
        <f>"06.127/001/2025"</f>
        <v>06.127/001/2025</v>
      </c>
      <c r="B603" s="4" t="str">
        <f>"Effektive Einarbeitung - erfolgreiche und zufriedenere Mitarbeitende"</f>
        <v>Effektive Einarbeitung - erfolgreiche und zufriedenere Mitarbeitende</v>
      </c>
      <c r="C603" s="5">
        <v>45782</v>
      </c>
      <c r="D603" s="5">
        <v>45783</v>
      </c>
      <c r="E603" s="4" t="str">
        <f t="shared" si="46"/>
        <v>2 Tage</v>
      </c>
      <c r="F603" s="6">
        <v>490</v>
      </c>
      <c r="G603" s="4" t="str">
        <f t="shared" si="45"/>
        <v>Fachübergreifendes Seminar</v>
      </c>
      <c r="H603" s="4" t="s">
        <v>11</v>
      </c>
    </row>
    <row r="604" spans="1:8" x14ac:dyDescent="0.2">
      <c r="A604" s="4" t="str">
        <f>"06.130/001/2025"</f>
        <v>06.130/001/2025</v>
      </c>
      <c r="B604" s="4" t="str">
        <f>"Die E-Mail-Flut am Arbeitsplatz meistern"</f>
        <v>Die E-Mail-Flut am Arbeitsplatz meistern</v>
      </c>
      <c r="C604" s="5">
        <v>45670</v>
      </c>
      <c r="D604" s="5">
        <v>45671</v>
      </c>
      <c r="E604" s="4" t="str">
        <f t="shared" si="46"/>
        <v>2 Tage</v>
      </c>
      <c r="F604" s="6">
        <v>490</v>
      </c>
      <c r="G604" s="4" t="str">
        <f t="shared" si="45"/>
        <v>Fachübergreifendes Seminar</v>
      </c>
      <c r="H604" s="4" t="s">
        <v>11</v>
      </c>
    </row>
    <row r="605" spans="1:8" x14ac:dyDescent="0.2">
      <c r="A605" s="4" t="str">
        <f>"06.130/002/2025"</f>
        <v>06.130/002/2025</v>
      </c>
      <c r="B605" s="4" t="str">
        <f>"Die E-Mail-Flut am Arbeitsplatz meistern"</f>
        <v>Die E-Mail-Flut am Arbeitsplatz meistern</v>
      </c>
      <c r="C605" s="5">
        <v>46007</v>
      </c>
      <c r="D605" s="5">
        <v>46008</v>
      </c>
      <c r="E605" s="4" t="str">
        <f t="shared" si="46"/>
        <v>2 Tage</v>
      </c>
      <c r="F605" s="6">
        <v>490</v>
      </c>
      <c r="G605" s="4" t="str">
        <f t="shared" si="45"/>
        <v>Fachübergreifendes Seminar</v>
      </c>
      <c r="H605" s="4" t="s">
        <v>11</v>
      </c>
    </row>
    <row r="606" spans="1:8" x14ac:dyDescent="0.2">
      <c r="A606" s="4" t="str">
        <f>"06.135/001/2025"</f>
        <v>06.135/001/2025</v>
      </c>
      <c r="B606" s="4" t="str">
        <f>"Professionelle Korrespondenz mit E-Mail und Brief: Zeitgemäß - stilsicher - empfängerorientiert   "</f>
        <v xml:space="preserve">Professionelle Korrespondenz mit E-Mail und Brief: Zeitgemäß - stilsicher - empfängerorientiert   </v>
      </c>
      <c r="C606" s="5">
        <v>45664</v>
      </c>
      <c r="D606" s="5">
        <v>45664</v>
      </c>
      <c r="E606" s="4" t="str">
        <f>"1 Tag"</f>
        <v>1 Tag</v>
      </c>
      <c r="F606" s="6">
        <v>190</v>
      </c>
      <c r="G606" s="4" t="str">
        <f t="shared" si="45"/>
        <v>Fachübergreifendes Seminar</v>
      </c>
      <c r="H606" s="4" t="s">
        <v>11</v>
      </c>
    </row>
    <row r="607" spans="1:8" x14ac:dyDescent="0.2">
      <c r="A607" s="4" t="str">
        <f>"06.140/001/2025"</f>
        <v>06.140/001/2025</v>
      </c>
      <c r="B607" s="4" t="str">
        <f>"Selbst- und Zeitmanagement am Mischarbeitsplatz"</f>
        <v>Selbst- und Zeitmanagement am Mischarbeitsplatz</v>
      </c>
      <c r="C607" s="5">
        <v>45761</v>
      </c>
      <c r="D607" s="5">
        <v>45762</v>
      </c>
      <c r="E607" s="4" t="str">
        <f>"2 Tage"</f>
        <v>2 Tage</v>
      </c>
      <c r="F607" s="6">
        <v>490</v>
      </c>
      <c r="G607" s="4" t="str">
        <f t="shared" si="45"/>
        <v>Fachübergreifendes Seminar</v>
      </c>
      <c r="H607" s="4" t="s">
        <v>11</v>
      </c>
    </row>
    <row r="608" spans="1:8" x14ac:dyDescent="0.2">
      <c r="A608" s="4" t="str">
        <f>"06.145/001/2025"</f>
        <v>06.145/001/2025</v>
      </c>
      <c r="B608" s="4" t="str">
        <f>"Sekretariatsmanagement"</f>
        <v>Sekretariatsmanagement</v>
      </c>
      <c r="C608" s="5">
        <v>45838</v>
      </c>
      <c r="D608" s="5">
        <v>45840</v>
      </c>
      <c r="E608" s="4" t="str">
        <f>"3 Tage"</f>
        <v>3 Tage</v>
      </c>
      <c r="F608" s="6">
        <v>760</v>
      </c>
      <c r="G608" s="4" t="str">
        <f>"Fachbezogenes Seminar"</f>
        <v>Fachbezogenes Seminar</v>
      </c>
      <c r="H608" s="4" t="s">
        <v>11</v>
      </c>
    </row>
    <row r="609" spans="1:8" x14ac:dyDescent="0.2">
      <c r="A609" s="4" t="str">
        <f>"06.150/001/2025"</f>
        <v>06.150/001/2025</v>
      </c>
      <c r="B609" s="4" t="str">
        <f>"Werkstatt-  Innovative digitale Tools im Sekretariat - Möglichkeiten und Grenzen von KI"</f>
        <v>Werkstatt-  Innovative digitale Tools im Sekretariat - Möglichkeiten und Grenzen von KI</v>
      </c>
      <c r="C609" s="5">
        <v>45915</v>
      </c>
      <c r="D609" s="5">
        <v>45961</v>
      </c>
      <c r="E609" s="4" t="str">
        <f>"2x1 Tag"</f>
        <v>2x1 Tag</v>
      </c>
      <c r="F609" s="6">
        <v>440</v>
      </c>
      <c r="G609" s="4"/>
      <c r="H609" s="4" t="s">
        <v>11</v>
      </c>
    </row>
    <row r="610" spans="1:8" x14ac:dyDescent="0.2">
      <c r="A610" s="4" t="str">
        <f>"06.150/001 a/2025"</f>
        <v>06.150/001 a/2025</v>
      </c>
      <c r="B610" s="4" t="str">
        <f>"Werkstatt: Assistenz 4.0 - von der Sekretärin zur New-Work-Assistenz"</f>
        <v>Werkstatt: Assistenz 4.0 - von der Sekretärin zur New-Work-Assistenz</v>
      </c>
      <c r="C610" s="5">
        <v>45915</v>
      </c>
      <c r="D610" s="5">
        <v>45915</v>
      </c>
      <c r="E610" s="4"/>
      <c r="F610" s="6" t="s">
        <v>11</v>
      </c>
      <c r="G610" s="4" t="str">
        <f t="shared" ref="G610:G616" si="47">"Fachübergreifendes Seminar"</f>
        <v>Fachübergreifendes Seminar</v>
      </c>
      <c r="H610" s="4" t="s">
        <v>11</v>
      </c>
    </row>
    <row r="611" spans="1:8" x14ac:dyDescent="0.2">
      <c r="A611" s="4" t="str">
        <f>"06.150/001 b/2025"</f>
        <v>06.150/001 b/2025</v>
      </c>
      <c r="B611" s="4" t="str">
        <f>"Werkstatt: Assistenz 4.0 - von der Sekretärin zur New-Work-Assistenz"</f>
        <v>Werkstatt: Assistenz 4.0 - von der Sekretärin zur New-Work-Assistenz</v>
      </c>
      <c r="C611" s="5">
        <v>45961</v>
      </c>
      <c r="D611" s="5">
        <v>45961</v>
      </c>
      <c r="E611" s="4"/>
      <c r="F611" s="6" t="s">
        <v>11</v>
      </c>
      <c r="G611" s="4" t="str">
        <f t="shared" si="47"/>
        <v>Fachübergreifendes Seminar</v>
      </c>
      <c r="H611" s="4" t="s">
        <v>11</v>
      </c>
    </row>
    <row r="612" spans="1:8" x14ac:dyDescent="0.2">
      <c r="A612" s="4" t="str">
        <f>"06.155/001/2025"</f>
        <v>06.155/001/2025</v>
      </c>
      <c r="B612" s="4" t="str">
        <f>"Kreativitätstechniken"</f>
        <v>Kreativitätstechniken</v>
      </c>
      <c r="C612" s="5">
        <v>45743</v>
      </c>
      <c r="D612" s="5">
        <v>45744</v>
      </c>
      <c r="E612" s="4" t="str">
        <f>"2 Tage"</f>
        <v>2 Tage</v>
      </c>
      <c r="F612" s="6">
        <v>490</v>
      </c>
      <c r="G612" s="4" t="str">
        <f t="shared" si="47"/>
        <v>Fachübergreifendes Seminar</v>
      </c>
      <c r="H612" s="4" t="s">
        <v>11</v>
      </c>
    </row>
    <row r="613" spans="1:8" x14ac:dyDescent="0.2">
      <c r="A613" s="4" t="str">
        <f>"06.165/001/2025"</f>
        <v>06.165/001/2025</v>
      </c>
      <c r="B613" s="4" t="str">
        <f>"MINDMAPPING -  Struktur und Übersicht durch Visualisierung"</f>
        <v>MINDMAPPING -  Struktur und Übersicht durch Visualisierung</v>
      </c>
      <c r="C613" s="5">
        <v>45769</v>
      </c>
      <c r="D613" s="5">
        <v>45769</v>
      </c>
      <c r="E613" s="4" t="str">
        <f>"1 Tag"</f>
        <v>1 Tag</v>
      </c>
      <c r="F613" s="6">
        <v>220</v>
      </c>
      <c r="G613" s="4" t="str">
        <f t="shared" si="47"/>
        <v>Fachübergreifendes Seminar</v>
      </c>
      <c r="H613" s="4" t="s">
        <v>11</v>
      </c>
    </row>
    <row r="614" spans="1:8" x14ac:dyDescent="0.2">
      <c r="A614" s="4" t="str">
        <f>"06.210/001/2025"</f>
        <v>06.210/001/2025</v>
      </c>
      <c r="B614" s="4" t="str">
        <f>"Wirkungsvoll auftreten -  und gewinnend vortragen: Präsenztraining für Führungskräfte"</f>
        <v>Wirkungsvoll auftreten -  und gewinnend vortragen: Präsenztraining für Führungskräfte</v>
      </c>
      <c r="C614" s="5">
        <v>45698</v>
      </c>
      <c r="D614" s="5">
        <v>45699</v>
      </c>
      <c r="E614" s="4" t="str">
        <f>"2 Tage"</f>
        <v>2 Tage</v>
      </c>
      <c r="F614" s="6">
        <v>490</v>
      </c>
      <c r="G614" s="4" t="str">
        <f t="shared" si="47"/>
        <v>Fachübergreifendes Seminar</v>
      </c>
      <c r="H614" s="4" t="s">
        <v>11</v>
      </c>
    </row>
    <row r="615" spans="1:8" x14ac:dyDescent="0.2">
      <c r="A615" s="4" t="str">
        <f>"06.210/002/2025"</f>
        <v>06.210/002/2025</v>
      </c>
      <c r="B615" s="4" t="str">
        <f>"Wirkungsvoll auftreten -  und gewinnend vortragen: Präsenztraining für Führungskräfte"</f>
        <v>Wirkungsvoll auftreten -  und gewinnend vortragen: Präsenztraining für Führungskräfte</v>
      </c>
      <c r="C615" s="5">
        <v>45904</v>
      </c>
      <c r="D615" s="5">
        <v>45905</v>
      </c>
      <c r="E615" s="4" t="str">
        <f>"2 Tage"</f>
        <v>2 Tage</v>
      </c>
      <c r="F615" s="6">
        <v>490</v>
      </c>
      <c r="G615" s="4" t="str">
        <f t="shared" si="47"/>
        <v>Fachübergreifendes Seminar</v>
      </c>
      <c r="H615" s="4" t="s">
        <v>11</v>
      </c>
    </row>
    <row r="616" spans="1:8" x14ac:dyDescent="0.2">
      <c r="A616" s="4" t="str">
        <f>"06.220/001/2025"</f>
        <v>06.220/001/2025</v>
      </c>
      <c r="B616" s="4" t="str">
        <f>"Sicher präsentieren - überzeugend vortragen"</f>
        <v>Sicher präsentieren - überzeugend vortragen</v>
      </c>
      <c r="C616" s="5">
        <v>45999</v>
      </c>
      <c r="D616" s="5">
        <v>46000</v>
      </c>
      <c r="E616" s="4" t="str">
        <f>"2 Tage"</f>
        <v>2 Tage</v>
      </c>
      <c r="F616" s="6">
        <v>490</v>
      </c>
      <c r="G616" s="4" t="str">
        <f t="shared" si="47"/>
        <v>Fachübergreifendes Seminar</v>
      </c>
      <c r="H616" s="4" t="s">
        <v>11</v>
      </c>
    </row>
    <row r="617" spans="1:8" x14ac:dyDescent="0.2">
      <c r="A617" s="4" t="str">
        <f>"06.230/001/2025"</f>
        <v>06.230/001/2025</v>
      </c>
      <c r="B617" s="4" t="str">
        <f>"Workshop: Kreative Vorträge und Präsentationen - überraschen, unterhalten, in Bildern besser reden"</f>
        <v>Workshop: Kreative Vorträge und Präsentationen - überraschen, unterhalten, in Bildern besser reden</v>
      </c>
      <c r="C617" s="5">
        <v>45848</v>
      </c>
      <c r="D617" s="5">
        <v>45923</v>
      </c>
      <c r="E617" s="4" t="str">
        <f>"2x2 Tage"</f>
        <v>2x2 Tage</v>
      </c>
      <c r="F617" s="6">
        <v>990</v>
      </c>
      <c r="G617" s="4"/>
      <c r="H617" s="4" t="s">
        <v>11</v>
      </c>
    </row>
    <row r="618" spans="1:8" x14ac:dyDescent="0.2">
      <c r="A618" s="4" t="str">
        <f>"06.230/001 a/2025"</f>
        <v>06.230/001 a/2025</v>
      </c>
      <c r="B618" s="4" t="str">
        <f>"Workshop: Kreative Vorträge und Präsentationen - überraschen, unterhalten, in Bildern besser reden"</f>
        <v>Workshop: Kreative Vorträge und Präsentationen - überraschen, unterhalten, in Bildern besser reden</v>
      </c>
      <c r="C618" s="5">
        <v>45848</v>
      </c>
      <c r="D618" s="5">
        <v>45849</v>
      </c>
      <c r="E618" s="4"/>
      <c r="F618" s="6" t="s">
        <v>11</v>
      </c>
      <c r="G618" s="4" t="str">
        <f>"Fachübergreifendes Seminar"</f>
        <v>Fachübergreifendes Seminar</v>
      </c>
      <c r="H618" s="4" t="s">
        <v>11</v>
      </c>
    </row>
    <row r="619" spans="1:8" x14ac:dyDescent="0.2">
      <c r="A619" s="4" t="str">
        <f>"06.230/001 b/2025"</f>
        <v>06.230/001 b/2025</v>
      </c>
      <c r="B619" s="4" t="str">
        <f>"Workshop: Kreative Vorträge und Präsentationen - überraschen, unterhalten, in Bildern besser reden"</f>
        <v>Workshop: Kreative Vorträge und Präsentationen - überraschen, unterhalten, in Bildern besser reden</v>
      </c>
      <c r="C619" s="5">
        <v>45922</v>
      </c>
      <c r="D619" s="5">
        <v>45923</v>
      </c>
      <c r="E619" s="4"/>
      <c r="F619" s="6" t="s">
        <v>11</v>
      </c>
      <c r="G619" s="4" t="str">
        <f>"Fachübergreifendes Seminar"</f>
        <v>Fachübergreifendes Seminar</v>
      </c>
      <c r="H619" s="4" t="s">
        <v>11</v>
      </c>
    </row>
    <row r="620" spans="1:8" x14ac:dyDescent="0.2">
      <c r="A620" s="4" t="str">
        <f>"06.240/001/2025"</f>
        <v>06.240/001/2025</v>
      </c>
      <c r="B620" s="4" t="str">
        <f>"Präsentationstechnik"</f>
        <v>Präsentationstechnik</v>
      </c>
      <c r="C620" s="5">
        <v>45748</v>
      </c>
      <c r="D620" s="5">
        <v>45749</v>
      </c>
      <c r="E620" s="4" t="str">
        <f>"2 Tage"</f>
        <v>2 Tage</v>
      </c>
      <c r="F620" s="6">
        <v>490</v>
      </c>
      <c r="G620" s="4" t="str">
        <f>"Fachübergreifendes Seminar"</f>
        <v>Fachübergreifendes Seminar</v>
      </c>
      <c r="H620" s="4" t="s">
        <v>11</v>
      </c>
    </row>
    <row r="621" spans="1:8" x14ac:dyDescent="0.2">
      <c r="A621" s="4" t="str">
        <f>"06.240/002/2025"</f>
        <v>06.240/002/2025</v>
      </c>
      <c r="B621" s="4" t="str">
        <f>"Präsentationstechnik"</f>
        <v>Präsentationstechnik</v>
      </c>
      <c r="C621" s="5">
        <v>45958</v>
      </c>
      <c r="D621" s="5">
        <v>45959</v>
      </c>
      <c r="E621" s="4" t="str">
        <f>"2 Tage"</f>
        <v>2 Tage</v>
      </c>
      <c r="F621" s="6">
        <v>490</v>
      </c>
      <c r="G621" s="4" t="str">
        <f>"Fachübergreifendes Seminar"</f>
        <v>Fachübergreifendes Seminar</v>
      </c>
      <c r="H621" s="4" t="s">
        <v>11</v>
      </c>
    </row>
    <row r="622" spans="1:8" x14ac:dyDescent="0.2">
      <c r="A622" s="4" t="str">
        <f>"06.250/001/2025"</f>
        <v>06.250/001/2025</v>
      </c>
      <c r="B622" s="4" t="str">
        <f>"Basiskompetenz Moderation"</f>
        <v>Basiskompetenz Moderation</v>
      </c>
      <c r="C622" s="5">
        <v>45775</v>
      </c>
      <c r="D622" s="5">
        <v>45821</v>
      </c>
      <c r="E622" s="4" t="str">
        <f>"2x3 Tage"</f>
        <v>2x3 Tage</v>
      </c>
      <c r="F622" s="6">
        <v>1490</v>
      </c>
      <c r="G622" s="4"/>
      <c r="H622" s="4" t="s">
        <v>11</v>
      </c>
    </row>
    <row r="623" spans="1:8" x14ac:dyDescent="0.2">
      <c r="A623" s="4" t="str">
        <f>"06.250/001 a/2025"</f>
        <v>06.250/001 a/2025</v>
      </c>
      <c r="B623" s="4" t="str">
        <f>"Basiskompetenz Moderation "</f>
        <v xml:space="preserve">Basiskompetenz Moderation </v>
      </c>
      <c r="C623" s="5">
        <v>45775</v>
      </c>
      <c r="D623" s="5">
        <v>45777</v>
      </c>
      <c r="E623" s="4"/>
      <c r="F623" s="6" t="s">
        <v>11</v>
      </c>
      <c r="G623" s="4" t="str">
        <f>"Fachübergreifendes Seminar"</f>
        <v>Fachübergreifendes Seminar</v>
      </c>
      <c r="H623" s="4" t="s">
        <v>11</v>
      </c>
    </row>
    <row r="624" spans="1:8" x14ac:dyDescent="0.2">
      <c r="A624" s="4" t="str">
        <f>"06.250/001 b/2025"</f>
        <v>06.250/001 b/2025</v>
      </c>
      <c r="B624" s="4" t="str">
        <f>"Basiskompetenz Moderation "</f>
        <v xml:space="preserve">Basiskompetenz Moderation </v>
      </c>
      <c r="C624" s="5">
        <v>45819</v>
      </c>
      <c r="D624" s="5">
        <v>45821</v>
      </c>
      <c r="E624" s="4"/>
      <c r="F624" s="6" t="s">
        <v>11</v>
      </c>
      <c r="G624" s="4" t="str">
        <f>"Fachübergreifendes Seminar"</f>
        <v>Fachübergreifendes Seminar</v>
      </c>
      <c r="H624" s="4" t="s">
        <v>11</v>
      </c>
    </row>
    <row r="625" spans="1:8" x14ac:dyDescent="0.2">
      <c r="A625" s="4" t="str">
        <f>"06.250/002/2025"</f>
        <v>06.250/002/2025</v>
      </c>
      <c r="B625" s="4" t="str">
        <f>"Basiskompetenz Moderation"</f>
        <v>Basiskompetenz Moderation</v>
      </c>
      <c r="C625" s="5">
        <v>45894</v>
      </c>
      <c r="D625" s="5">
        <v>45931</v>
      </c>
      <c r="E625" s="4" t="str">
        <f>"2x3 Tage"</f>
        <v>2x3 Tage</v>
      </c>
      <c r="F625" s="6">
        <v>1490</v>
      </c>
      <c r="G625" s="4"/>
      <c r="H625" s="4" t="s">
        <v>11</v>
      </c>
    </row>
    <row r="626" spans="1:8" x14ac:dyDescent="0.2">
      <c r="A626" s="4" t="str">
        <f>"06.250/002 a/2025"</f>
        <v>06.250/002 a/2025</v>
      </c>
      <c r="B626" s="4" t="str">
        <f>"Basiskompetenz Moderation "</f>
        <v xml:space="preserve">Basiskompetenz Moderation </v>
      </c>
      <c r="C626" s="5">
        <v>45894</v>
      </c>
      <c r="D626" s="5">
        <v>45896</v>
      </c>
      <c r="E626" s="4"/>
      <c r="F626" s="6" t="s">
        <v>11</v>
      </c>
      <c r="G626" s="4" t="str">
        <f t="shared" ref="G626:G632" si="48">"Fachübergreifendes Seminar"</f>
        <v>Fachübergreifendes Seminar</v>
      </c>
      <c r="H626" s="4" t="s">
        <v>11</v>
      </c>
    </row>
    <row r="627" spans="1:8" x14ac:dyDescent="0.2">
      <c r="A627" s="4" t="str">
        <f>"06.250/002 b/2025"</f>
        <v>06.250/002 b/2025</v>
      </c>
      <c r="B627" s="4" t="str">
        <f>"Basiskompetenz Moderation "</f>
        <v xml:space="preserve">Basiskompetenz Moderation </v>
      </c>
      <c r="C627" s="5">
        <v>45929</v>
      </c>
      <c r="D627" s="5">
        <v>45931</v>
      </c>
      <c r="E627" s="4"/>
      <c r="F627" s="6" t="s">
        <v>11</v>
      </c>
      <c r="G627" s="4" t="str">
        <f t="shared" si="48"/>
        <v>Fachübergreifendes Seminar</v>
      </c>
      <c r="H627" s="4" t="s">
        <v>11</v>
      </c>
    </row>
    <row r="628" spans="1:8" x14ac:dyDescent="0.2">
      <c r="A628" s="4" t="str">
        <f>"06.255/001/2025"</f>
        <v>06.255/001/2025</v>
      </c>
      <c r="B628" s="4" t="str">
        <f>"Agile Moderationstechniken- ein Werkzeugkasten voll neuer Ideen"</f>
        <v>Agile Moderationstechniken- ein Werkzeugkasten voll neuer Ideen</v>
      </c>
      <c r="C628" s="5">
        <v>45849</v>
      </c>
      <c r="D628" s="5">
        <v>45849</v>
      </c>
      <c r="E628" s="4" t="str">
        <f>"1 Tag"</f>
        <v>1 Tag</v>
      </c>
      <c r="F628" s="6">
        <v>220</v>
      </c>
      <c r="G628" s="4" t="str">
        <f t="shared" si="48"/>
        <v>Fachübergreifendes Seminar</v>
      </c>
      <c r="H628" s="4" t="s">
        <v>11</v>
      </c>
    </row>
    <row r="629" spans="1:8" x14ac:dyDescent="0.2">
      <c r="A629" s="4" t="str">
        <f>"06.260/001/2025"</f>
        <v>06.260/001/2025</v>
      </c>
      <c r="B629" s="4" t="str">
        <f>"Ohne Metaplankarte und Co: Diskussionen zielführend moderieren"</f>
        <v>Ohne Metaplankarte und Co: Diskussionen zielführend moderieren</v>
      </c>
      <c r="C629" s="5">
        <v>45673</v>
      </c>
      <c r="D629" s="5">
        <v>45674</v>
      </c>
      <c r="E629" s="4" t="str">
        <f>"2 Tage"</f>
        <v>2 Tage</v>
      </c>
      <c r="F629" s="6">
        <v>490</v>
      </c>
      <c r="G629" s="4" t="str">
        <f t="shared" si="48"/>
        <v>Fachübergreifendes Seminar</v>
      </c>
      <c r="H629" s="4" t="s">
        <v>11</v>
      </c>
    </row>
    <row r="630" spans="1:8" x14ac:dyDescent="0.2">
      <c r="A630" s="4" t="str">
        <f>"06.260/002/2025"</f>
        <v>06.260/002/2025</v>
      </c>
      <c r="B630" s="4" t="str">
        <f>"Ohne Metaplankarte und Co: Diskussionen zielführend moderieren"</f>
        <v>Ohne Metaplankarte und Co: Diskussionen zielführend moderieren</v>
      </c>
      <c r="C630" s="5">
        <v>45813</v>
      </c>
      <c r="D630" s="5">
        <v>45814</v>
      </c>
      <c r="E630" s="4" t="str">
        <f>"2 Tage"</f>
        <v>2 Tage</v>
      </c>
      <c r="F630" s="6">
        <v>490</v>
      </c>
      <c r="G630" s="4" t="str">
        <f t="shared" si="48"/>
        <v>Fachübergreifendes Seminar</v>
      </c>
      <c r="H630" s="4" t="s">
        <v>11</v>
      </c>
    </row>
    <row r="631" spans="1:8" x14ac:dyDescent="0.2">
      <c r="A631" s="4" t="str">
        <f>"06.315/001/2025"</f>
        <v>06.315/001/2025</v>
      </c>
      <c r="B631" s="4" t="str">
        <f>"Konzepterstellung und Präsentation - von einem leeren Blatt Papier zu einem überzeugenden Konzept"</f>
        <v>Konzepterstellung und Präsentation - von einem leeren Blatt Papier zu einem überzeugenden Konzept</v>
      </c>
      <c r="C631" s="5">
        <v>45845</v>
      </c>
      <c r="D631" s="5">
        <v>45846</v>
      </c>
      <c r="E631" s="4" t="str">
        <f>"2 Tage"</f>
        <v>2 Tage</v>
      </c>
      <c r="F631" s="6">
        <v>490</v>
      </c>
      <c r="G631" s="4" t="str">
        <f t="shared" si="48"/>
        <v>Fachübergreifendes Seminar</v>
      </c>
      <c r="H631" s="4" t="s">
        <v>11</v>
      </c>
    </row>
    <row r="632" spans="1:8" x14ac:dyDescent="0.2">
      <c r="A632" s="4" t="str">
        <f>"06.315/002/2025"</f>
        <v>06.315/002/2025</v>
      </c>
      <c r="B632" s="4" t="str">
        <f>"Konzepterstellung und Präsentation - von einem leeren Blatt Papier zu einem überzeugenden Konzept"</f>
        <v>Konzepterstellung und Präsentation - von einem leeren Blatt Papier zu einem überzeugenden Konzept</v>
      </c>
      <c r="C632" s="5">
        <v>45957</v>
      </c>
      <c r="D632" s="5">
        <v>45958</v>
      </c>
      <c r="E632" s="4" t="str">
        <f>"2 Tage"</f>
        <v>2 Tage</v>
      </c>
      <c r="F632" s="6">
        <v>490</v>
      </c>
      <c r="G632" s="4" t="str">
        <f t="shared" si="48"/>
        <v>Fachübergreifendes Seminar</v>
      </c>
      <c r="H632" s="4" t="s">
        <v>11</v>
      </c>
    </row>
    <row r="633" spans="1:8" x14ac:dyDescent="0.2">
      <c r="A633" s="4" t="str">
        <f>"06.320/001/2025"</f>
        <v>06.320/001/2025</v>
      </c>
      <c r="B633" s="4" t="str">
        <f>"Haben Sie meinen Bericht nicht gelesen? - Konzeptionelle Gestaltung von Berichten und Entscheidungsvorlagen"</f>
        <v>Haben Sie meinen Bericht nicht gelesen? - Konzeptionelle Gestaltung von Berichten und Entscheidungsvorlagen</v>
      </c>
      <c r="C633" s="5">
        <v>45757</v>
      </c>
      <c r="D633" s="5">
        <v>45772</v>
      </c>
      <c r="E633" s="4" t="str">
        <f>"1x2 Tage, 1x1 Tag"</f>
        <v>1x2 Tage, 1x1 Tag</v>
      </c>
      <c r="F633" s="6">
        <v>710</v>
      </c>
      <c r="G633" s="4"/>
      <c r="H633" s="4" t="s">
        <v>11</v>
      </c>
    </row>
    <row r="634" spans="1:8" x14ac:dyDescent="0.2">
      <c r="A634" s="4" t="str">
        <f>"06.320/001 a/2025"</f>
        <v>06.320/001 a/2025</v>
      </c>
      <c r="B634" s="4" t="str">
        <f>"Haben Sie meinen Bericht nicht gelesen? - Konzeptionelle Gestaltung von Berichten und Entscheidungsvorlage"</f>
        <v>Haben Sie meinen Bericht nicht gelesen? - Konzeptionelle Gestaltung von Berichten und Entscheidungsvorlage</v>
      </c>
      <c r="C634" s="5">
        <v>45757</v>
      </c>
      <c r="D634" s="5">
        <v>45758</v>
      </c>
      <c r="E634" s="4"/>
      <c r="F634" s="6" t="s">
        <v>11</v>
      </c>
      <c r="G634" s="4" t="str">
        <f t="shared" ref="G634:G651" si="49">"Fachübergreifendes Seminar"</f>
        <v>Fachübergreifendes Seminar</v>
      </c>
      <c r="H634" s="4" t="s">
        <v>11</v>
      </c>
    </row>
    <row r="635" spans="1:8" x14ac:dyDescent="0.2">
      <c r="A635" s="4" t="str">
        <f>"06.320/001 b/2025"</f>
        <v>06.320/001 b/2025</v>
      </c>
      <c r="B635" s="4" t="str">
        <f>"Haben Sie meinen Bericht nicht gelesen? - Konzeptionelle Gestaltung von Berichten und Entscheidungsvorlage"</f>
        <v>Haben Sie meinen Bericht nicht gelesen? - Konzeptionelle Gestaltung von Berichten und Entscheidungsvorlage</v>
      </c>
      <c r="C635" s="5">
        <v>45772</v>
      </c>
      <c r="D635" s="5">
        <v>45772</v>
      </c>
      <c r="E635" s="4"/>
      <c r="F635" s="6" t="s">
        <v>11</v>
      </c>
      <c r="G635" s="4" t="str">
        <f t="shared" si="49"/>
        <v>Fachübergreifendes Seminar</v>
      </c>
      <c r="H635" s="4" t="s">
        <v>11</v>
      </c>
    </row>
    <row r="636" spans="1:8" x14ac:dyDescent="0.2">
      <c r="A636" s="4" t="str">
        <f>"06.340/001/2025"</f>
        <v>06.340/001/2025</v>
      </c>
      <c r="B636" s="4" t="str">
        <f>"Komplexe Sachverhalte verdichten - prägnante Entscheidungsvorlagen"</f>
        <v>Komplexe Sachverhalte verdichten - prägnante Entscheidungsvorlagen</v>
      </c>
      <c r="C636" s="5">
        <v>45763</v>
      </c>
      <c r="D636" s="5">
        <v>45764</v>
      </c>
      <c r="E636" s="4" t="str">
        <f t="shared" ref="E636:E649" si="50">"2 Tage"</f>
        <v>2 Tage</v>
      </c>
      <c r="F636" s="6">
        <v>490</v>
      </c>
      <c r="G636" s="4" t="str">
        <f t="shared" si="49"/>
        <v>Fachübergreifendes Seminar</v>
      </c>
      <c r="H636" s="4" t="s">
        <v>11</v>
      </c>
    </row>
    <row r="637" spans="1:8" x14ac:dyDescent="0.2">
      <c r="A637" s="4" t="str">
        <f>"06.340/002/2025"</f>
        <v>06.340/002/2025</v>
      </c>
      <c r="B637" s="4" t="str">
        <f>"Komplexe Sachverhalte verdichten -  prägnante Entscheidungsvorlagen"</f>
        <v>Komplexe Sachverhalte verdichten -  prägnante Entscheidungsvorlagen</v>
      </c>
      <c r="C637" s="5">
        <v>45974</v>
      </c>
      <c r="D637" s="5">
        <v>45975</v>
      </c>
      <c r="E637" s="4" t="str">
        <f t="shared" si="50"/>
        <v>2 Tage</v>
      </c>
      <c r="F637" s="6">
        <v>490</v>
      </c>
      <c r="G637" s="4" t="str">
        <f t="shared" si="49"/>
        <v>Fachübergreifendes Seminar</v>
      </c>
      <c r="H637" s="4" t="s">
        <v>11</v>
      </c>
    </row>
    <row r="638" spans="1:8" x14ac:dyDescent="0.2">
      <c r="A638" s="4" t="str">
        <f>"06.350/001/2025"</f>
        <v>06.350/001/2025</v>
      </c>
      <c r="B638" s="4" t="str">
        <f>"Berichte, Protokolle und Vorlagen verständlich schreiben"</f>
        <v>Berichte, Protokolle und Vorlagen verständlich schreiben</v>
      </c>
      <c r="C638" s="5">
        <v>45750</v>
      </c>
      <c r="D638" s="5">
        <v>45751</v>
      </c>
      <c r="E638" s="4" t="str">
        <f t="shared" si="50"/>
        <v>2 Tage</v>
      </c>
      <c r="F638" s="6">
        <v>490</v>
      </c>
      <c r="G638" s="4" t="str">
        <f t="shared" si="49"/>
        <v>Fachübergreifendes Seminar</v>
      </c>
      <c r="H638" s="4" t="s">
        <v>11</v>
      </c>
    </row>
    <row r="639" spans="1:8" x14ac:dyDescent="0.2">
      <c r="A639" s="4" t="str">
        <f>"06.350/002/2025"</f>
        <v>06.350/002/2025</v>
      </c>
      <c r="B639" s="4" t="str">
        <f>"Berichte, Protokolle und Vorlagen verständlich schreiben"</f>
        <v>Berichte, Protokolle und Vorlagen verständlich schreiben</v>
      </c>
      <c r="C639" s="5">
        <v>45943</v>
      </c>
      <c r="D639" s="5">
        <v>45944</v>
      </c>
      <c r="E639" s="4" t="str">
        <f t="shared" si="50"/>
        <v>2 Tage</v>
      </c>
      <c r="F639" s="6">
        <v>490</v>
      </c>
      <c r="G639" s="4" t="str">
        <f t="shared" si="49"/>
        <v>Fachübergreifendes Seminar</v>
      </c>
      <c r="H639" s="4" t="s">
        <v>11</v>
      </c>
    </row>
    <row r="640" spans="1:8" x14ac:dyDescent="0.2">
      <c r="A640" s="4" t="str">
        <f>"06.350/003/2025"</f>
        <v>06.350/003/2025</v>
      </c>
      <c r="B640" s="4" t="str">
        <f>"Berichte, Protokolle und Vorlagen verständlich schreiben"</f>
        <v>Berichte, Protokolle und Vorlagen verständlich schreiben</v>
      </c>
      <c r="C640" s="5">
        <v>46007</v>
      </c>
      <c r="D640" s="5">
        <v>46008</v>
      </c>
      <c r="E640" s="4" t="str">
        <f t="shared" si="50"/>
        <v>2 Tage</v>
      </c>
      <c r="F640" s="6">
        <v>490</v>
      </c>
      <c r="G640" s="4" t="str">
        <f t="shared" si="49"/>
        <v>Fachübergreifendes Seminar</v>
      </c>
      <c r="H640" s="4" t="s">
        <v>11</v>
      </c>
    </row>
    <row r="641" spans="1:8" x14ac:dyDescent="0.2">
      <c r="A641" s="4" t="str">
        <f>"06.410/001/2025"</f>
        <v>06.410/001/2025</v>
      </c>
      <c r="B641" s="4" t="str">
        <f>"Gedächtnistraining: Leichter merken, schneller speichern, länger behalten"</f>
        <v>Gedächtnistraining: Leichter merken, schneller speichern, länger behalten</v>
      </c>
      <c r="C641" s="5">
        <v>45715</v>
      </c>
      <c r="D641" s="5">
        <v>45716</v>
      </c>
      <c r="E641" s="4" t="str">
        <f t="shared" si="50"/>
        <v>2 Tage</v>
      </c>
      <c r="F641" s="6">
        <v>490</v>
      </c>
      <c r="G641" s="4" t="str">
        <f t="shared" si="49"/>
        <v>Fachübergreifendes Seminar</v>
      </c>
      <c r="H641" s="4" t="s">
        <v>11</v>
      </c>
    </row>
    <row r="642" spans="1:8" x14ac:dyDescent="0.2">
      <c r="A642" s="4" t="str">
        <f>"06.410/002/2025"</f>
        <v>06.410/002/2025</v>
      </c>
      <c r="B642" s="4" t="str">
        <f>"Gedächtnistraining: Leichter merken, schneller speichern, länger behalten"</f>
        <v>Gedächtnistraining: Leichter merken, schneller speichern, länger behalten</v>
      </c>
      <c r="C642" s="5">
        <v>45771</v>
      </c>
      <c r="D642" s="5">
        <v>45772</v>
      </c>
      <c r="E642" s="4" t="str">
        <f t="shared" si="50"/>
        <v>2 Tage</v>
      </c>
      <c r="F642" s="6">
        <v>490</v>
      </c>
      <c r="G642" s="4" t="str">
        <f t="shared" si="49"/>
        <v>Fachübergreifendes Seminar</v>
      </c>
      <c r="H642" s="4" t="s">
        <v>11</v>
      </c>
    </row>
    <row r="643" spans="1:8" x14ac:dyDescent="0.2">
      <c r="A643" s="4" t="str">
        <f>"06.410/003/2025"</f>
        <v>06.410/003/2025</v>
      </c>
      <c r="B643" s="4" t="str">
        <f>"Gedächtnistraining: Leichter merken, schneller speichern, länger behalten"</f>
        <v>Gedächtnistraining: Leichter merken, schneller speichern, länger behalten</v>
      </c>
      <c r="C643" s="5">
        <v>45904</v>
      </c>
      <c r="D643" s="5">
        <v>45905</v>
      </c>
      <c r="E643" s="4" t="str">
        <f t="shared" si="50"/>
        <v>2 Tage</v>
      </c>
      <c r="F643" s="6">
        <v>490</v>
      </c>
      <c r="G643" s="4" t="str">
        <f t="shared" si="49"/>
        <v>Fachübergreifendes Seminar</v>
      </c>
      <c r="H643" s="4" t="s">
        <v>11</v>
      </c>
    </row>
    <row r="644" spans="1:8" x14ac:dyDescent="0.2">
      <c r="A644" s="4" t="str">
        <f>"06.420/001/2025"</f>
        <v>06.420/001/2025</v>
      </c>
      <c r="B644" s="4" t="str">
        <f>"Basis-Seminar Lerntechniken: Fitness im Kopf"</f>
        <v>Basis-Seminar Lerntechniken: Fitness im Kopf</v>
      </c>
      <c r="C644" s="5">
        <v>45763</v>
      </c>
      <c r="D644" s="5">
        <v>45764</v>
      </c>
      <c r="E644" s="4" t="str">
        <f t="shared" si="50"/>
        <v>2 Tage</v>
      </c>
      <c r="F644" s="6">
        <v>490</v>
      </c>
      <c r="G644" s="4" t="str">
        <f t="shared" si="49"/>
        <v>Fachübergreifendes Seminar</v>
      </c>
      <c r="H644" s="4" t="s">
        <v>11</v>
      </c>
    </row>
    <row r="645" spans="1:8" x14ac:dyDescent="0.2">
      <c r="A645" s="4" t="str">
        <f>"06.420/002/2025"</f>
        <v>06.420/002/2025</v>
      </c>
      <c r="B645" s="4" t="str">
        <f>"Basis-Seminar Lerntechniken: Fitness im Kopf"</f>
        <v>Basis-Seminar Lerntechniken: Fitness im Kopf</v>
      </c>
      <c r="C645" s="5">
        <v>45908</v>
      </c>
      <c r="D645" s="5">
        <v>45909</v>
      </c>
      <c r="E645" s="4" t="str">
        <f t="shared" si="50"/>
        <v>2 Tage</v>
      </c>
      <c r="F645" s="6">
        <v>490</v>
      </c>
      <c r="G645" s="4" t="str">
        <f t="shared" si="49"/>
        <v>Fachübergreifendes Seminar</v>
      </c>
      <c r="H645" s="4" t="s">
        <v>11</v>
      </c>
    </row>
    <row r="646" spans="1:8" x14ac:dyDescent="0.2">
      <c r="A646" s="4" t="str">
        <f>"06.420/003/2025"</f>
        <v>06.420/003/2025</v>
      </c>
      <c r="B646" s="4" t="str">
        <f>"Basis-Seminar Lerntechniken: Fitness im Kopf"</f>
        <v>Basis-Seminar Lerntechniken: Fitness im Kopf</v>
      </c>
      <c r="C646" s="5">
        <v>45988</v>
      </c>
      <c r="D646" s="5">
        <v>45989</v>
      </c>
      <c r="E646" s="4" t="str">
        <f t="shared" si="50"/>
        <v>2 Tage</v>
      </c>
      <c r="F646" s="6">
        <v>490</v>
      </c>
      <c r="G646" s="4" t="str">
        <f t="shared" si="49"/>
        <v>Fachübergreifendes Seminar</v>
      </c>
      <c r="H646" s="4" t="s">
        <v>11</v>
      </c>
    </row>
    <row r="647" spans="1:8" x14ac:dyDescent="0.2">
      <c r="A647" s="4" t="str">
        <f>"06.430/001/2025"</f>
        <v>06.430/001/2025</v>
      </c>
      <c r="B647" s="4" t="str">
        <f>"Lesetraining - schneller durch den Textdschungel"</f>
        <v>Lesetraining - schneller durch den Textdschungel</v>
      </c>
      <c r="C647" s="5">
        <v>45769</v>
      </c>
      <c r="D647" s="5">
        <v>45770</v>
      </c>
      <c r="E647" s="4" t="str">
        <f t="shared" si="50"/>
        <v>2 Tage</v>
      </c>
      <c r="F647" s="6">
        <v>490</v>
      </c>
      <c r="G647" s="4" t="str">
        <f t="shared" si="49"/>
        <v>Fachübergreifendes Seminar</v>
      </c>
      <c r="H647" s="4" t="s">
        <v>11</v>
      </c>
    </row>
    <row r="648" spans="1:8" x14ac:dyDescent="0.2">
      <c r="A648" s="4" t="str">
        <f>"06.430/002/2025"</f>
        <v>06.430/002/2025</v>
      </c>
      <c r="B648" s="4" t="str">
        <f>"Lesetraining - schneller durch den Textdschungel"</f>
        <v>Lesetraining - schneller durch den Textdschungel</v>
      </c>
      <c r="C648" s="5">
        <v>45993</v>
      </c>
      <c r="D648" s="5">
        <v>45994</v>
      </c>
      <c r="E648" s="4" t="str">
        <f t="shared" si="50"/>
        <v>2 Tage</v>
      </c>
      <c r="F648" s="6">
        <v>490</v>
      </c>
      <c r="G648" s="4" t="str">
        <f t="shared" si="49"/>
        <v>Fachübergreifendes Seminar</v>
      </c>
      <c r="H648" s="4" t="s">
        <v>11</v>
      </c>
    </row>
    <row r="649" spans="1:8" x14ac:dyDescent="0.2">
      <c r="A649" s="4" t="str">
        <f>"06.450/001/2025"</f>
        <v>06.450/001/2025</v>
      </c>
      <c r="B649" s="4" t="str">
        <f>"Mentale Fitness - Wissen gezielt abrufen"</f>
        <v>Mentale Fitness - Wissen gezielt abrufen</v>
      </c>
      <c r="C649" s="5">
        <v>45958</v>
      </c>
      <c r="D649" s="5">
        <v>45959</v>
      </c>
      <c r="E649" s="4" t="str">
        <f t="shared" si="50"/>
        <v>2 Tage</v>
      </c>
      <c r="F649" s="6">
        <v>490</v>
      </c>
      <c r="G649" s="4" t="str">
        <f t="shared" si="49"/>
        <v>Fachübergreifendes Seminar</v>
      </c>
      <c r="H649" s="4" t="s">
        <v>11</v>
      </c>
    </row>
    <row r="650" spans="1:8" x14ac:dyDescent="0.2">
      <c r="A650" s="4" t="str">
        <f>"06.455/002/2025"</f>
        <v>06.455/002/2025</v>
      </c>
      <c r="B650" s="4" t="str">
        <f>"Sketch Noting: Gedankenskizzen durch Visualisierung"</f>
        <v>Sketch Noting: Gedankenskizzen durch Visualisierung</v>
      </c>
      <c r="C650" s="5">
        <v>45912</v>
      </c>
      <c r="D650" s="5">
        <v>45912</v>
      </c>
      <c r="E650" s="4" t="str">
        <f>"1 Tag"</f>
        <v>1 Tag</v>
      </c>
      <c r="F650" s="6">
        <v>220</v>
      </c>
      <c r="G650" s="4" t="str">
        <f t="shared" si="49"/>
        <v>Fachübergreifendes Seminar</v>
      </c>
      <c r="H650" s="4" t="s">
        <v>11</v>
      </c>
    </row>
    <row r="651" spans="1:8" x14ac:dyDescent="0.2">
      <c r="A651" s="4" t="str">
        <f>"06.460/001/2025"</f>
        <v>06.460/001/2025</v>
      </c>
      <c r="B651" s="4" t="str">
        <f>"Erfolg beginnt im Kopf"</f>
        <v>Erfolg beginnt im Kopf</v>
      </c>
      <c r="C651" s="5">
        <v>45680</v>
      </c>
      <c r="D651" s="5">
        <v>45681</v>
      </c>
      <c r="E651" s="4" t="s">
        <v>12</v>
      </c>
      <c r="F651" s="6">
        <v>470</v>
      </c>
      <c r="G651" s="4" t="str">
        <f t="shared" si="49"/>
        <v>Fachübergreifendes Seminar</v>
      </c>
      <c r="H651" s="4" t="s">
        <v>11</v>
      </c>
    </row>
    <row r="652" spans="1:8" x14ac:dyDescent="0.2">
      <c r="A652" s="4" t="str">
        <f>"06.560/001/2025"</f>
        <v>06.560/001/2025</v>
      </c>
      <c r="B652" s="4" t="str">
        <f t="shared" ref="B652:B660" si="51">"Ausbilden am Arbeitsplatz"</f>
        <v>Ausbilden am Arbeitsplatz</v>
      </c>
      <c r="C652" s="5">
        <v>45691</v>
      </c>
      <c r="D652" s="5">
        <v>45722</v>
      </c>
      <c r="E652" s="4" t="str">
        <f>"2x2 Tage"</f>
        <v>2x2 Tage</v>
      </c>
      <c r="F652" s="6">
        <v>990</v>
      </c>
      <c r="G652" s="4"/>
      <c r="H652" s="4" t="s">
        <v>11</v>
      </c>
    </row>
    <row r="653" spans="1:8" x14ac:dyDescent="0.2">
      <c r="A653" s="4" t="str">
        <f>"06.560/001 a/2025"</f>
        <v>06.560/001 a/2025</v>
      </c>
      <c r="B653" s="4" t="str">
        <f t="shared" si="51"/>
        <v>Ausbilden am Arbeitsplatz</v>
      </c>
      <c r="C653" s="5">
        <v>45691</v>
      </c>
      <c r="D653" s="5">
        <v>45692</v>
      </c>
      <c r="E653" s="4"/>
      <c r="F653" s="6" t="s">
        <v>11</v>
      </c>
      <c r="G653" s="4" t="str">
        <f>"Fachübergreifendes Seminar"</f>
        <v>Fachübergreifendes Seminar</v>
      </c>
      <c r="H653" s="4" t="s">
        <v>11</v>
      </c>
    </row>
    <row r="654" spans="1:8" x14ac:dyDescent="0.2">
      <c r="A654" s="4" t="str">
        <f>"06.560/001 b/2025"</f>
        <v>06.560/001 b/2025</v>
      </c>
      <c r="B654" s="4" t="str">
        <f t="shared" si="51"/>
        <v>Ausbilden am Arbeitsplatz</v>
      </c>
      <c r="C654" s="5">
        <v>45721</v>
      </c>
      <c r="D654" s="5">
        <v>45722</v>
      </c>
      <c r="E654" s="4"/>
      <c r="F654" s="6" t="s">
        <v>11</v>
      </c>
      <c r="G654" s="4" t="str">
        <f>"Fachübergreifendes Seminar"</f>
        <v>Fachübergreifendes Seminar</v>
      </c>
      <c r="H654" s="4" t="s">
        <v>11</v>
      </c>
    </row>
    <row r="655" spans="1:8" x14ac:dyDescent="0.2">
      <c r="A655" s="4" t="str">
        <f>"06.560/002/2025"</f>
        <v>06.560/002/2025</v>
      </c>
      <c r="B655" s="4" t="str">
        <f t="shared" si="51"/>
        <v>Ausbilden am Arbeitsplatz</v>
      </c>
      <c r="C655" s="5">
        <v>45869</v>
      </c>
      <c r="D655" s="5">
        <v>45961</v>
      </c>
      <c r="E655" s="4" t="str">
        <f>"2x2 Tage"</f>
        <v>2x2 Tage</v>
      </c>
      <c r="F655" s="6">
        <v>990</v>
      </c>
      <c r="G655" s="4"/>
      <c r="H655" s="4" t="s">
        <v>11</v>
      </c>
    </row>
    <row r="656" spans="1:8" x14ac:dyDescent="0.2">
      <c r="A656" s="4" t="str">
        <f>"06.560/002 a/2025"</f>
        <v>06.560/002 a/2025</v>
      </c>
      <c r="B656" s="4" t="str">
        <f t="shared" si="51"/>
        <v>Ausbilden am Arbeitsplatz</v>
      </c>
      <c r="C656" s="5">
        <v>45869</v>
      </c>
      <c r="D656" s="5">
        <v>45870</v>
      </c>
      <c r="E656" s="4"/>
      <c r="F656" s="6" t="s">
        <v>11</v>
      </c>
      <c r="G656" s="4" t="str">
        <f>"Fachübergreifendes Seminar"</f>
        <v>Fachübergreifendes Seminar</v>
      </c>
      <c r="H656" s="4" t="s">
        <v>11</v>
      </c>
    </row>
    <row r="657" spans="1:8" x14ac:dyDescent="0.2">
      <c r="A657" s="4" t="str">
        <f>"06.560/002 b/2025"</f>
        <v>06.560/002 b/2025</v>
      </c>
      <c r="B657" s="4" t="str">
        <f t="shared" si="51"/>
        <v>Ausbilden am Arbeitsplatz</v>
      </c>
      <c r="C657" s="5">
        <v>45960</v>
      </c>
      <c r="D657" s="5">
        <v>45961</v>
      </c>
      <c r="E657" s="4"/>
      <c r="F657" s="6" t="s">
        <v>11</v>
      </c>
      <c r="G657" s="4" t="str">
        <f>"Fachübergreifendes Seminar"</f>
        <v>Fachübergreifendes Seminar</v>
      </c>
      <c r="H657" s="4" t="s">
        <v>11</v>
      </c>
    </row>
    <row r="658" spans="1:8" x14ac:dyDescent="0.2">
      <c r="A658" s="4" t="str">
        <f>"06.560/003/2025"</f>
        <v>06.560/003/2025</v>
      </c>
      <c r="B658" s="4" t="str">
        <f t="shared" si="51"/>
        <v>Ausbilden am Arbeitsplatz</v>
      </c>
      <c r="C658" s="5">
        <v>45946</v>
      </c>
      <c r="D658" s="5">
        <v>45986</v>
      </c>
      <c r="E658" s="4" t="str">
        <f>"2x2 Tage"</f>
        <v>2x2 Tage</v>
      </c>
      <c r="F658" s="6">
        <v>990</v>
      </c>
      <c r="G658" s="4"/>
      <c r="H658" s="4" t="s">
        <v>11</v>
      </c>
    </row>
    <row r="659" spans="1:8" x14ac:dyDescent="0.2">
      <c r="A659" s="4" t="str">
        <f>"06.560/003 a/2025"</f>
        <v>06.560/003 a/2025</v>
      </c>
      <c r="B659" s="4" t="str">
        <f t="shared" si="51"/>
        <v>Ausbilden am Arbeitsplatz</v>
      </c>
      <c r="C659" s="5">
        <v>45946</v>
      </c>
      <c r="D659" s="5">
        <v>45947</v>
      </c>
      <c r="E659" s="4"/>
      <c r="F659" s="6" t="s">
        <v>11</v>
      </c>
      <c r="G659" s="4" t="str">
        <f t="shared" ref="G659:G664" si="52">"Fachübergreifendes Seminar"</f>
        <v>Fachübergreifendes Seminar</v>
      </c>
      <c r="H659" s="4" t="s">
        <v>11</v>
      </c>
    </row>
    <row r="660" spans="1:8" x14ac:dyDescent="0.2">
      <c r="A660" s="4" t="str">
        <f>"06.560/003 b/2025"</f>
        <v>06.560/003 b/2025</v>
      </c>
      <c r="B660" s="4" t="str">
        <f t="shared" si="51"/>
        <v>Ausbilden am Arbeitsplatz</v>
      </c>
      <c r="C660" s="5">
        <v>45985</v>
      </c>
      <c r="D660" s="5">
        <v>45986</v>
      </c>
      <c r="E660" s="4"/>
      <c r="F660" s="6" t="s">
        <v>11</v>
      </c>
      <c r="G660" s="4" t="str">
        <f t="shared" si="52"/>
        <v>Fachübergreifendes Seminar</v>
      </c>
      <c r="H660" s="4" t="s">
        <v>11</v>
      </c>
    </row>
    <row r="661" spans="1:8" x14ac:dyDescent="0.2">
      <c r="A661" s="4" t="str">
        <f>"06.570/001/2025"</f>
        <v>06.570/001/2025</v>
      </c>
      <c r="B661" s="4" t="str">
        <f>"Bachelor-Prüfungen vorbereiten, durchführen und bewerten"</f>
        <v>Bachelor-Prüfungen vorbereiten, durchführen und bewerten</v>
      </c>
      <c r="C661" s="5">
        <v>45677</v>
      </c>
      <c r="D661" s="5">
        <v>45678</v>
      </c>
      <c r="E661" s="4" t="str">
        <f>"2 Tage"</f>
        <v>2 Tage</v>
      </c>
      <c r="F661" s="6">
        <v>490</v>
      </c>
      <c r="G661" s="4" t="str">
        <f t="shared" si="52"/>
        <v>Fachübergreifendes Seminar</v>
      </c>
      <c r="H661" s="4" t="s">
        <v>11</v>
      </c>
    </row>
    <row r="662" spans="1:8" x14ac:dyDescent="0.2">
      <c r="A662" s="4" t="str">
        <f>"06.570/002/2025"</f>
        <v>06.570/002/2025</v>
      </c>
      <c r="B662" s="4" t="str">
        <f>"Bachelor-Prüfungen vorbereiten, durchführen und bewerten"</f>
        <v>Bachelor-Prüfungen vorbereiten, durchführen und bewerten</v>
      </c>
      <c r="C662" s="5">
        <v>45916</v>
      </c>
      <c r="D662" s="5">
        <v>45917</v>
      </c>
      <c r="E662" s="4" t="str">
        <f>"2 Tage"</f>
        <v>2 Tage</v>
      </c>
      <c r="F662" s="6">
        <v>490</v>
      </c>
      <c r="G662" s="4" t="str">
        <f t="shared" si="52"/>
        <v>Fachübergreifendes Seminar</v>
      </c>
      <c r="H662" s="4" t="s">
        <v>11</v>
      </c>
    </row>
    <row r="663" spans="1:8" x14ac:dyDescent="0.2">
      <c r="A663" s="4" t="str">
        <f>"06.570/003/2025"</f>
        <v>06.570/003/2025</v>
      </c>
      <c r="B663" s="4" t="str">
        <f>"Bachelor-Prüfungen vorbereiten, durchführen und bewerten"</f>
        <v>Bachelor-Prüfungen vorbereiten, durchführen und bewerten</v>
      </c>
      <c r="C663" s="5">
        <v>45944</v>
      </c>
      <c r="D663" s="5">
        <v>45945</v>
      </c>
      <c r="E663" s="4" t="str">
        <f>"2 Tage"</f>
        <v>2 Tage</v>
      </c>
      <c r="F663" s="6">
        <v>490</v>
      </c>
      <c r="G663" s="4" t="str">
        <f t="shared" si="52"/>
        <v>Fachübergreifendes Seminar</v>
      </c>
      <c r="H663" s="4" t="s">
        <v>11</v>
      </c>
    </row>
    <row r="664" spans="1:8" x14ac:dyDescent="0.2">
      <c r="A664" s="4" t="str">
        <f>"06.572/001/2025"</f>
        <v>06.572/001/2025</v>
      </c>
      <c r="B664" s="4" t="str">
        <f>"Mündliche und schriftliche Prüfungen kompetent durchführen und beurteilen"</f>
        <v>Mündliche und schriftliche Prüfungen kompetent durchführen und beurteilen</v>
      </c>
      <c r="C664" s="5">
        <v>45859</v>
      </c>
      <c r="D664" s="5">
        <v>45860</v>
      </c>
      <c r="E664" s="4" t="str">
        <f>"2 Tage"</f>
        <v>2 Tage</v>
      </c>
      <c r="F664" s="6">
        <v>490</v>
      </c>
      <c r="G664" s="4" t="str">
        <f t="shared" si="52"/>
        <v>Fachübergreifendes Seminar</v>
      </c>
      <c r="H664" s="4" t="s">
        <v>11</v>
      </c>
    </row>
    <row r="665" spans="1:8" x14ac:dyDescent="0.2">
      <c r="A665" s="4" t="str">
        <f>"06.580/001/2025"</f>
        <v>06.580/001/2025</v>
      </c>
      <c r="B665" s="4" t="str">
        <f>"Prüfungsrecht: Ausbildung für Personalvertretungen,  insbesondere Schwerbehindertenvertretung"</f>
        <v>Prüfungsrecht: Ausbildung für Personalvertretungen,  insbesondere Schwerbehindertenvertretung</v>
      </c>
      <c r="C665" s="5">
        <v>45985</v>
      </c>
      <c r="D665" s="5">
        <v>45985</v>
      </c>
      <c r="E665" s="4" t="str">
        <f>"1 Tag"</f>
        <v>1 Tag</v>
      </c>
      <c r="F665" s="6">
        <v>220</v>
      </c>
      <c r="G665" s="4" t="str">
        <f>"Fachbezogenes Seminar"</f>
        <v>Fachbezogenes Seminar</v>
      </c>
      <c r="H665" s="4" t="s">
        <v>11</v>
      </c>
    </row>
    <row r="666" spans="1:8" x14ac:dyDescent="0.2">
      <c r="A666" s="4" t="str">
        <f>"07.115/001/2025"</f>
        <v>07.115/001/2025</v>
      </c>
      <c r="B666" s="4" t="str">
        <f>"Personalentwicklung - Einführung"</f>
        <v>Personalentwicklung - Einführung</v>
      </c>
      <c r="C666" s="5">
        <v>45698</v>
      </c>
      <c r="D666" s="5">
        <v>45699</v>
      </c>
      <c r="E666" s="4" t="str">
        <f>"2 Tage"</f>
        <v>2 Tage</v>
      </c>
      <c r="F666" s="6">
        <v>490</v>
      </c>
      <c r="G666" s="4" t="str">
        <f>"Fachübergreifendes Seminar"</f>
        <v>Fachübergreifendes Seminar</v>
      </c>
      <c r="H666" s="4" t="s">
        <v>11</v>
      </c>
    </row>
    <row r="667" spans="1:8" x14ac:dyDescent="0.2">
      <c r="A667" s="4" t="str">
        <f>"07.120/001/2025"</f>
        <v>07.120/001/2025</v>
      </c>
      <c r="B667" s="4" t="str">
        <f>"Personalentwicklungskonzepte (weiter) entwickeln"</f>
        <v>Personalentwicklungskonzepte (weiter) entwickeln</v>
      </c>
      <c r="C667" s="5">
        <v>45978</v>
      </c>
      <c r="D667" s="5">
        <v>45978</v>
      </c>
      <c r="E667" s="4" t="str">
        <f>"1 Tag"</f>
        <v>1 Tag</v>
      </c>
      <c r="F667" s="6">
        <v>220</v>
      </c>
      <c r="G667" s="4" t="str">
        <f>"Fachübergreifendes Seminar"</f>
        <v>Fachübergreifendes Seminar</v>
      </c>
      <c r="H667" s="4" t="s">
        <v>11</v>
      </c>
    </row>
    <row r="668" spans="1:8" x14ac:dyDescent="0.2">
      <c r="A668" s="4" t="str">
        <f>"07.130/001/2025"</f>
        <v>07.130/001/2025</v>
      </c>
      <c r="B668" s="4" t="str">
        <f>"Personalmarketing und Employer Branding im öffentlichen Dienst"</f>
        <v>Personalmarketing und Employer Branding im öffentlichen Dienst</v>
      </c>
      <c r="C668" s="5">
        <v>45838</v>
      </c>
      <c r="D668" s="5">
        <v>45839</v>
      </c>
      <c r="E668" s="4" t="str">
        <f>"2 Tage"</f>
        <v>2 Tage</v>
      </c>
      <c r="F668" s="6">
        <v>490</v>
      </c>
      <c r="G668" s="4" t="str">
        <f>"Fachbezogenes Seminar"</f>
        <v>Fachbezogenes Seminar</v>
      </c>
      <c r="H668" s="4" t="s">
        <v>11</v>
      </c>
    </row>
    <row r="669" spans="1:8" x14ac:dyDescent="0.2">
      <c r="A669" s="4" t="str">
        <f>"07.132/001/2025"</f>
        <v>07.132/001/2025</v>
      </c>
      <c r="B669" s="4" t="str">
        <f>"Neue Generationen - Neues Personalmanagement"</f>
        <v>Neue Generationen - Neues Personalmanagement</v>
      </c>
      <c r="C669" s="5">
        <v>45852</v>
      </c>
      <c r="D669" s="5">
        <v>45853</v>
      </c>
      <c r="E669" s="4" t="s">
        <v>12</v>
      </c>
      <c r="F669" s="6">
        <v>490</v>
      </c>
      <c r="G669" s="4" t="str">
        <f>"Fachbezogenes Seminar"</f>
        <v>Fachbezogenes Seminar</v>
      </c>
      <c r="H669" s="4" t="s">
        <v>11</v>
      </c>
    </row>
    <row r="670" spans="1:8" x14ac:dyDescent="0.2">
      <c r="A670" s="4" t="str">
        <f>"07.145/001/2025"</f>
        <v>07.145/001/2025</v>
      </c>
      <c r="B670" s="4" t="str">
        <f>"Mitarbeiterbindung - Gute Mitarbeiter halten und motivieren"</f>
        <v>Mitarbeiterbindung - Gute Mitarbeiter halten und motivieren</v>
      </c>
      <c r="C670" s="5">
        <v>45960</v>
      </c>
      <c r="D670" s="5">
        <v>45961</v>
      </c>
      <c r="E670" s="4" t="str">
        <f t="shared" ref="E670:E674" si="53">"2 Tage"</f>
        <v>2 Tage</v>
      </c>
      <c r="F670" s="6">
        <v>490</v>
      </c>
      <c r="G670" s="4" t="str">
        <f>"Fachübergreifendes Seminar"</f>
        <v>Fachübergreifendes Seminar</v>
      </c>
      <c r="H670" s="4" t="s">
        <v>11</v>
      </c>
    </row>
    <row r="671" spans="1:8" x14ac:dyDescent="0.2">
      <c r="A671" s="4" t="str">
        <f>"07.150/001/2025"</f>
        <v>07.150/001/2025</v>
      </c>
      <c r="B671" s="4" t="str">
        <f>"Fortbildung als zentrales Element strategischer Personalentwicklung"</f>
        <v>Fortbildung als zentrales Element strategischer Personalentwicklung</v>
      </c>
      <c r="C671" s="5">
        <v>45911</v>
      </c>
      <c r="D671" s="5">
        <v>45912</v>
      </c>
      <c r="E671" s="4" t="str">
        <f t="shared" si="53"/>
        <v>2 Tage</v>
      </c>
      <c r="F671" s="6">
        <v>490</v>
      </c>
      <c r="G671" s="4" t="str">
        <f>"Fachbezogenes Seminar"</f>
        <v>Fachbezogenes Seminar</v>
      </c>
      <c r="H671" s="4" t="s">
        <v>11</v>
      </c>
    </row>
    <row r="672" spans="1:8" x14ac:dyDescent="0.2">
      <c r="A672" s="4" t="str">
        <f>"07.165/001/2025"</f>
        <v>07.165/001/2025</v>
      </c>
      <c r="B672" s="4" t="str">
        <f>"Talent- und Nachfolgemanagement"</f>
        <v>Talent- und Nachfolgemanagement</v>
      </c>
      <c r="C672" s="5">
        <v>45796</v>
      </c>
      <c r="D672" s="5">
        <v>45797</v>
      </c>
      <c r="E672" s="4" t="str">
        <f t="shared" si="53"/>
        <v>2 Tage</v>
      </c>
      <c r="F672" s="6">
        <v>490</v>
      </c>
      <c r="G672" s="4" t="str">
        <f>"Fachübergreifendes Seminar"</f>
        <v>Fachübergreifendes Seminar</v>
      </c>
      <c r="H672" s="4" t="s">
        <v>11</v>
      </c>
    </row>
    <row r="673" spans="1:8" x14ac:dyDescent="0.2">
      <c r="A673" s="4" t="str">
        <f>"07.170/001/2025"</f>
        <v>07.170/001/2025</v>
      </c>
      <c r="B673" s="4" t="str">
        <f>"Recruiting - Trends auf die eigene Praxis übertragen"</f>
        <v>Recruiting - Trends auf die eigene Praxis übertragen</v>
      </c>
      <c r="C673" s="5">
        <v>45792</v>
      </c>
      <c r="D673" s="5">
        <v>45793</v>
      </c>
      <c r="E673" s="4" t="str">
        <f t="shared" si="53"/>
        <v>2 Tage</v>
      </c>
      <c r="F673" s="6">
        <v>490</v>
      </c>
      <c r="G673" s="4" t="str">
        <f>"Fachbezogenes Seminar"</f>
        <v>Fachbezogenes Seminar</v>
      </c>
      <c r="H673" s="4" t="s">
        <v>11</v>
      </c>
    </row>
    <row r="674" spans="1:8" x14ac:dyDescent="0.2">
      <c r="A674" s="4" t="str">
        <f>"07.170/002/2025"</f>
        <v>07.170/002/2025</v>
      </c>
      <c r="B674" s="4" t="str">
        <f>"Recruiting - Trends auf die eigene Praxis übertragen"</f>
        <v>Recruiting - Trends auf die eigene Praxis übertragen</v>
      </c>
      <c r="C674" s="5">
        <v>45971</v>
      </c>
      <c r="D674" s="5">
        <v>45972</v>
      </c>
      <c r="E674" s="4" t="str">
        <f t="shared" si="53"/>
        <v>2 Tage</v>
      </c>
      <c r="F674" s="6">
        <v>490</v>
      </c>
      <c r="G674" s="4" t="str">
        <f>"Fachbezogenes Seminar"</f>
        <v>Fachbezogenes Seminar</v>
      </c>
      <c r="H674" s="4" t="s">
        <v>11</v>
      </c>
    </row>
    <row r="675" spans="1:8" x14ac:dyDescent="0.2">
      <c r="A675" s="4" t="str">
        <f>"07.215/001/2025"</f>
        <v>07.215/001/2025</v>
      </c>
      <c r="B675" s="4" t="str">
        <f>"Das Personalauswahlverfahren - Einführung"</f>
        <v>Das Personalauswahlverfahren - Einführung</v>
      </c>
      <c r="C675" s="5">
        <v>45700</v>
      </c>
      <c r="D675" s="5">
        <v>45702</v>
      </c>
      <c r="E675" s="4" t="str">
        <f>"3 Tage"</f>
        <v>3 Tage</v>
      </c>
      <c r="F675" s="6">
        <v>1160</v>
      </c>
      <c r="G675" s="4" t="str">
        <f t="shared" ref="G675:G685" si="54">"Fachübergreifendes Seminar"</f>
        <v>Fachübergreifendes Seminar</v>
      </c>
      <c r="H675" s="4" t="s">
        <v>11</v>
      </c>
    </row>
    <row r="676" spans="1:8" x14ac:dyDescent="0.2">
      <c r="A676" s="4" t="str">
        <f>"07.215/002/2025"</f>
        <v>07.215/002/2025</v>
      </c>
      <c r="B676" s="4" t="str">
        <f>"Das Personalauswahlverfahren - Einführung"</f>
        <v>Das Personalauswahlverfahren - Einführung</v>
      </c>
      <c r="C676" s="5">
        <v>45840</v>
      </c>
      <c r="D676" s="5">
        <v>45842</v>
      </c>
      <c r="E676" s="4" t="str">
        <f>"3 Tage"</f>
        <v>3 Tage</v>
      </c>
      <c r="F676" s="6">
        <v>1160</v>
      </c>
      <c r="G676" s="4" t="str">
        <f t="shared" si="54"/>
        <v>Fachübergreifendes Seminar</v>
      </c>
      <c r="H676" s="4" t="s">
        <v>11</v>
      </c>
    </row>
    <row r="677" spans="1:8" x14ac:dyDescent="0.2">
      <c r="A677" s="4" t="str">
        <f>"07.220/001/2025"</f>
        <v>07.220/001/2025</v>
      </c>
      <c r="B677" s="4" t="str">
        <f>"Personalauswahl - Anforderungsprofile und Kompetenzmodelle für passgenaue Stellenbesetzungen"</f>
        <v>Personalauswahl - Anforderungsprofile und Kompetenzmodelle für passgenaue Stellenbesetzungen</v>
      </c>
      <c r="C677" s="5">
        <v>45722</v>
      </c>
      <c r="D677" s="5">
        <v>45723</v>
      </c>
      <c r="E677" s="4" t="str">
        <f t="shared" ref="E677:E685" si="55">"2 Tage"</f>
        <v>2 Tage</v>
      </c>
      <c r="F677" s="6">
        <v>490</v>
      </c>
      <c r="G677" s="4" t="str">
        <f t="shared" si="54"/>
        <v>Fachübergreifendes Seminar</v>
      </c>
      <c r="H677" s="4" t="s">
        <v>11</v>
      </c>
    </row>
    <row r="678" spans="1:8" x14ac:dyDescent="0.2">
      <c r="A678" s="4" t="str">
        <f>"07.225/001/2025"</f>
        <v>07.225/001/2025</v>
      </c>
      <c r="B678" s="4" t="str">
        <f>"Personalauswahl - Strukturierte Einstellungsinterviews"</f>
        <v>Personalauswahl - Strukturierte Einstellungsinterviews</v>
      </c>
      <c r="C678" s="5">
        <v>45694</v>
      </c>
      <c r="D678" s="5">
        <v>45695</v>
      </c>
      <c r="E678" s="4" t="str">
        <f t="shared" si="55"/>
        <v>2 Tage</v>
      </c>
      <c r="F678" s="6">
        <v>490</v>
      </c>
      <c r="G678" s="4" t="str">
        <f t="shared" si="54"/>
        <v>Fachübergreifendes Seminar</v>
      </c>
      <c r="H678" s="4" t="s">
        <v>11</v>
      </c>
    </row>
    <row r="679" spans="1:8" x14ac:dyDescent="0.2">
      <c r="A679" s="4" t="str">
        <f>"07.225/002/2025"</f>
        <v>07.225/002/2025</v>
      </c>
      <c r="B679" s="4" t="str">
        <f>"Personalauswahl - Strukturierte Einstellungsinterviews"</f>
        <v>Personalauswahl - Strukturierte Einstellungsinterviews</v>
      </c>
      <c r="C679" s="5">
        <v>45908</v>
      </c>
      <c r="D679" s="5">
        <v>45909</v>
      </c>
      <c r="E679" s="4" t="str">
        <f t="shared" si="55"/>
        <v>2 Tage</v>
      </c>
      <c r="F679" s="6">
        <v>490</v>
      </c>
      <c r="G679" s="4" t="str">
        <f t="shared" si="54"/>
        <v>Fachübergreifendes Seminar</v>
      </c>
      <c r="H679" s="4" t="s">
        <v>11</v>
      </c>
    </row>
    <row r="680" spans="1:8" x14ac:dyDescent="0.2">
      <c r="A680" s="4" t="str">
        <f>"07.226/001/2025"</f>
        <v>07.226/001/2025</v>
      </c>
      <c r="B680" s="4" t="str">
        <f>"Personalauswahl - Fragenwerkstatt für frische Interviewfragen"</f>
        <v>Personalauswahl - Fragenwerkstatt für frische Interviewfragen</v>
      </c>
      <c r="C680" s="5">
        <v>45929</v>
      </c>
      <c r="D680" s="5">
        <v>45930</v>
      </c>
      <c r="E680" s="4" t="str">
        <f t="shared" si="55"/>
        <v>2 Tage</v>
      </c>
      <c r="F680" s="6">
        <v>490</v>
      </c>
      <c r="G680" s="4" t="str">
        <f t="shared" si="54"/>
        <v>Fachübergreifendes Seminar</v>
      </c>
      <c r="H680" s="4" t="s">
        <v>11</v>
      </c>
    </row>
    <row r="681" spans="1:8" x14ac:dyDescent="0.2">
      <c r="A681" s="4" t="str">
        <f>"07.230/001/2025"</f>
        <v>07.230/001/2025</v>
      </c>
      <c r="B681" s="4" t="str">
        <f>"Personalauswahl - Beobachtungstraining"</f>
        <v>Personalauswahl - Beobachtungstraining</v>
      </c>
      <c r="C681" s="5">
        <v>45756</v>
      </c>
      <c r="D681" s="5">
        <v>45757</v>
      </c>
      <c r="E681" s="4" t="str">
        <f t="shared" si="55"/>
        <v>2 Tage</v>
      </c>
      <c r="F681" s="6">
        <v>490</v>
      </c>
      <c r="G681" s="4" t="str">
        <f t="shared" si="54"/>
        <v>Fachübergreifendes Seminar</v>
      </c>
      <c r="H681" s="4" t="s">
        <v>11</v>
      </c>
    </row>
    <row r="682" spans="1:8" x14ac:dyDescent="0.2">
      <c r="A682" s="4" t="str">
        <f>"07.230/002/2025"</f>
        <v>07.230/002/2025</v>
      </c>
      <c r="B682" s="4" t="str">
        <f>"Personalauswahl - Beobachtungstraining"</f>
        <v>Personalauswahl - Beobachtungstraining</v>
      </c>
      <c r="C682" s="5">
        <v>45960</v>
      </c>
      <c r="D682" s="5">
        <v>45961</v>
      </c>
      <c r="E682" s="4" t="str">
        <f t="shared" si="55"/>
        <v>2 Tage</v>
      </c>
      <c r="F682" s="6">
        <v>490</v>
      </c>
      <c r="G682" s="4" t="str">
        <f t="shared" si="54"/>
        <v>Fachübergreifendes Seminar</v>
      </c>
      <c r="H682" s="4" t="s">
        <v>11</v>
      </c>
    </row>
    <row r="683" spans="1:8" x14ac:dyDescent="0.2">
      <c r="A683" s="4" t="str">
        <f>"07.231/001/2025"</f>
        <v>07.231/001/2025</v>
      </c>
      <c r="B683" s="4" t="str">
        <f>"Personalauswahl - Beobachtungstraining für Personalvertretungen"</f>
        <v>Personalauswahl - Beobachtungstraining für Personalvertretungen</v>
      </c>
      <c r="C683" s="5">
        <v>45698</v>
      </c>
      <c r="D683" s="5">
        <v>45699</v>
      </c>
      <c r="E683" s="4" t="str">
        <f t="shared" si="55"/>
        <v>2 Tage</v>
      </c>
      <c r="F683" s="6">
        <v>490</v>
      </c>
      <c r="G683" s="4" t="str">
        <f t="shared" si="54"/>
        <v>Fachübergreifendes Seminar</v>
      </c>
      <c r="H683" s="4" t="s">
        <v>11</v>
      </c>
    </row>
    <row r="684" spans="1:8" x14ac:dyDescent="0.2">
      <c r="A684" s="4" t="str">
        <f>"07.315/001/2025"</f>
        <v>07.315/001/2025</v>
      </c>
      <c r="B684" s="4" t="str">
        <f>"Selbstbewusst ins behördliche Auswahlverfahren"</f>
        <v>Selbstbewusst ins behördliche Auswahlverfahren</v>
      </c>
      <c r="C684" s="5">
        <v>45727</v>
      </c>
      <c r="D684" s="5">
        <v>45728</v>
      </c>
      <c r="E684" s="4" t="str">
        <f t="shared" si="55"/>
        <v>2 Tage</v>
      </c>
      <c r="F684" s="6">
        <v>490</v>
      </c>
      <c r="G684" s="4" t="str">
        <f t="shared" si="54"/>
        <v>Fachübergreifendes Seminar</v>
      </c>
      <c r="H684" s="4" t="s">
        <v>11</v>
      </c>
    </row>
    <row r="685" spans="1:8" x14ac:dyDescent="0.2">
      <c r="A685" s="4" t="str">
        <f>"07.315/002/2025"</f>
        <v>07.315/002/2025</v>
      </c>
      <c r="B685" s="4" t="str">
        <f>"Selbstbewusst ins behördliche Auswahlverfahren"</f>
        <v>Selbstbewusst ins behördliche Auswahlverfahren</v>
      </c>
      <c r="C685" s="5">
        <v>46002</v>
      </c>
      <c r="D685" s="5">
        <v>46003</v>
      </c>
      <c r="E685" s="4" t="str">
        <f t="shared" si="55"/>
        <v>2 Tage</v>
      </c>
      <c r="F685" s="6">
        <v>490</v>
      </c>
      <c r="G685" s="4" t="str">
        <f t="shared" si="54"/>
        <v>Fachübergreifendes Seminar</v>
      </c>
      <c r="H685" s="4" t="s">
        <v>11</v>
      </c>
    </row>
    <row r="686" spans="1:8" x14ac:dyDescent="0.2">
      <c r="A686" s="4" t="str">
        <f>"08.110/001/2025"</f>
        <v>08.110/001/2025</v>
      </c>
      <c r="B686" s="4" t="str">
        <f>"Beamtenrecht - Einführung"</f>
        <v>Beamtenrecht - Einführung</v>
      </c>
      <c r="C686" s="5">
        <v>45726</v>
      </c>
      <c r="D686" s="5">
        <v>45755</v>
      </c>
      <c r="E686" s="4" t="str">
        <f>"2x2 Tage"</f>
        <v>2x2 Tage</v>
      </c>
      <c r="F686" s="6">
        <v>860</v>
      </c>
      <c r="G686" s="4"/>
      <c r="H686" s="4" t="s">
        <v>11</v>
      </c>
    </row>
    <row r="687" spans="1:8" x14ac:dyDescent="0.2">
      <c r="A687" s="4" t="str">
        <f>"08.110/001 a/2025"</f>
        <v>08.110/001 a/2025</v>
      </c>
      <c r="B687" s="4" t="str">
        <f>"Beamtenrecht - Einführung "</f>
        <v xml:space="preserve">Beamtenrecht - Einführung </v>
      </c>
      <c r="C687" s="5">
        <v>45726</v>
      </c>
      <c r="D687" s="5">
        <v>45727</v>
      </c>
      <c r="E687" s="4"/>
      <c r="F687" s="6" t="s">
        <v>11</v>
      </c>
      <c r="G687" s="4" t="str">
        <f>"Fachbezogenes Seminar"</f>
        <v>Fachbezogenes Seminar</v>
      </c>
      <c r="H687" s="4" t="s">
        <v>11</v>
      </c>
    </row>
    <row r="688" spans="1:8" x14ac:dyDescent="0.2">
      <c r="A688" s="4" t="str">
        <f>"08.110/001 b/2025"</f>
        <v>08.110/001 b/2025</v>
      </c>
      <c r="B688" s="4" t="str">
        <f>"Beamtenrecht - Einführung "</f>
        <v xml:space="preserve">Beamtenrecht - Einführung </v>
      </c>
      <c r="C688" s="5">
        <v>45754</v>
      </c>
      <c r="D688" s="5">
        <v>45755</v>
      </c>
      <c r="E688" s="4"/>
      <c r="F688" s="6" t="s">
        <v>11</v>
      </c>
      <c r="G688" s="4" t="str">
        <f>"Fachbezogenes Seminar"</f>
        <v>Fachbezogenes Seminar</v>
      </c>
      <c r="H688" s="4" t="s">
        <v>11</v>
      </c>
    </row>
    <row r="689" spans="1:8" x14ac:dyDescent="0.2">
      <c r="A689" s="4" t="str">
        <f>"08.110/002/2025"</f>
        <v>08.110/002/2025</v>
      </c>
      <c r="B689" s="4" t="str">
        <f>"Beamtenrecht - Einführung"</f>
        <v>Beamtenrecht - Einführung</v>
      </c>
      <c r="C689" s="5">
        <v>45763</v>
      </c>
      <c r="D689" s="5">
        <v>45814</v>
      </c>
      <c r="E689" s="4" t="str">
        <f>"2x2 Tage"</f>
        <v>2x2 Tage</v>
      </c>
      <c r="F689" s="6">
        <v>860</v>
      </c>
      <c r="G689" s="4"/>
      <c r="H689" s="4" t="s">
        <v>11</v>
      </c>
    </row>
    <row r="690" spans="1:8" x14ac:dyDescent="0.2">
      <c r="A690" s="4" t="str">
        <f>"08.110/002 a/2025"</f>
        <v>08.110/002 a/2025</v>
      </c>
      <c r="B690" s="4" t="str">
        <f>"Beamtenrecht - Einführung "</f>
        <v xml:space="preserve">Beamtenrecht - Einführung </v>
      </c>
      <c r="C690" s="5">
        <v>45763</v>
      </c>
      <c r="D690" s="5">
        <v>45764</v>
      </c>
      <c r="E690" s="4"/>
      <c r="F690" s="6" t="s">
        <v>11</v>
      </c>
      <c r="G690" s="4" t="str">
        <f>"Fachbezogenes Seminar"</f>
        <v>Fachbezogenes Seminar</v>
      </c>
      <c r="H690" s="4" t="s">
        <v>11</v>
      </c>
    </row>
    <row r="691" spans="1:8" x14ac:dyDescent="0.2">
      <c r="A691" s="4" t="str">
        <f>"08.110/002 b/2025"</f>
        <v>08.110/002 b/2025</v>
      </c>
      <c r="B691" s="4" t="str">
        <f>"Beamtenrecht - Einführung "</f>
        <v xml:space="preserve">Beamtenrecht - Einführung </v>
      </c>
      <c r="C691" s="5">
        <v>45813</v>
      </c>
      <c r="D691" s="5">
        <v>45814</v>
      </c>
      <c r="E691" s="4"/>
      <c r="F691" s="6" t="s">
        <v>11</v>
      </c>
      <c r="G691" s="4" t="str">
        <f>"Fachbezogenes Seminar"</f>
        <v>Fachbezogenes Seminar</v>
      </c>
      <c r="H691" s="4" t="s">
        <v>11</v>
      </c>
    </row>
    <row r="692" spans="1:8" x14ac:dyDescent="0.2">
      <c r="A692" s="4" t="str">
        <f>"08.110/003/2025"</f>
        <v>08.110/003/2025</v>
      </c>
      <c r="B692" s="4" t="str">
        <f>"Beamtenrecht - Einführung"</f>
        <v>Beamtenrecht - Einführung</v>
      </c>
      <c r="C692" s="5">
        <v>45810</v>
      </c>
      <c r="D692" s="5">
        <v>45839</v>
      </c>
      <c r="E692" s="4" t="str">
        <f>"2x2 Tage"</f>
        <v>2x2 Tage</v>
      </c>
      <c r="F692" s="6">
        <v>860</v>
      </c>
      <c r="G692" s="4"/>
      <c r="H692" s="4" t="s">
        <v>11</v>
      </c>
    </row>
    <row r="693" spans="1:8" x14ac:dyDescent="0.2">
      <c r="A693" s="4" t="str">
        <f>"08.110/003 a/2025"</f>
        <v>08.110/003 a/2025</v>
      </c>
      <c r="B693" s="4" t="str">
        <f>"Beamtenrecht - Einführung "</f>
        <v xml:space="preserve">Beamtenrecht - Einführung </v>
      </c>
      <c r="C693" s="5">
        <v>45810</v>
      </c>
      <c r="D693" s="5">
        <v>45811</v>
      </c>
      <c r="E693" s="4"/>
      <c r="F693" s="6" t="s">
        <v>11</v>
      </c>
      <c r="G693" s="4" t="str">
        <f>"Fachbezogenes Seminar"</f>
        <v>Fachbezogenes Seminar</v>
      </c>
      <c r="H693" s="4" t="s">
        <v>11</v>
      </c>
    </row>
    <row r="694" spans="1:8" x14ac:dyDescent="0.2">
      <c r="A694" s="4" t="str">
        <f>"08.110/003 b/2025"</f>
        <v>08.110/003 b/2025</v>
      </c>
      <c r="B694" s="4" t="str">
        <f>"Beamtenrecht - Einführung "</f>
        <v xml:space="preserve">Beamtenrecht - Einführung </v>
      </c>
      <c r="C694" s="5">
        <v>45838</v>
      </c>
      <c r="D694" s="5">
        <v>45839</v>
      </c>
      <c r="E694" s="4"/>
      <c r="F694" s="6" t="s">
        <v>11</v>
      </c>
      <c r="G694" s="4" t="str">
        <f>"Fachbezogenes Seminar"</f>
        <v>Fachbezogenes Seminar</v>
      </c>
      <c r="H694" s="4" t="s">
        <v>11</v>
      </c>
    </row>
    <row r="695" spans="1:8" x14ac:dyDescent="0.2">
      <c r="A695" s="4" t="str">
        <f>"08.110/004/2025"</f>
        <v>08.110/004/2025</v>
      </c>
      <c r="B695" s="4" t="str">
        <f>"Beamtenrecht - Einführung"</f>
        <v>Beamtenrecht - Einführung</v>
      </c>
      <c r="C695" s="5">
        <v>45897</v>
      </c>
      <c r="D695" s="5">
        <v>45926</v>
      </c>
      <c r="E695" s="4" t="str">
        <f>"2x2 Tage"</f>
        <v>2x2 Tage</v>
      </c>
      <c r="F695" s="6">
        <v>860</v>
      </c>
      <c r="G695" s="4"/>
      <c r="H695" s="4" t="s">
        <v>11</v>
      </c>
    </row>
    <row r="696" spans="1:8" x14ac:dyDescent="0.2">
      <c r="A696" s="4" t="str">
        <f>"08.110/004 a/2025"</f>
        <v>08.110/004 a/2025</v>
      </c>
      <c r="B696" s="4" t="str">
        <f>"Beamtenrecht - Einführung "</f>
        <v xml:space="preserve">Beamtenrecht - Einführung </v>
      </c>
      <c r="C696" s="5">
        <v>45897</v>
      </c>
      <c r="D696" s="5">
        <v>45898</v>
      </c>
      <c r="E696" s="4"/>
      <c r="F696" s="6" t="s">
        <v>11</v>
      </c>
      <c r="G696" s="4" t="str">
        <f>"Fachbezogenes Seminar"</f>
        <v>Fachbezogenes Seminar</v>
      </c>
      <c r="H696" s="4" t="s">
        <v>11</v>
      </c>
    </row>
    <row r="697" spans="1:8" x14ac:dyDescent="0.2">
      <c r="A697" s="4" t="str">
        <f>"08.110/004 b/2025"</f>
        <v>08.110/004 b/2025</v>
      </c>
      <c r="B697" s="4" t="str">
        <f>"Beamtenrecht - Einführung "</f>
        <v xml:space="preserve">Beamtenrecht - Einführung </v>
      </c>
      <c r="C697" s="5">
        <v>45925</v>
      </c>
      <c r="D697" s="5">
        <v>45926</v>
      </c>
      <c r="E697" s="4"/>
      <c r="F697" s="6" t="s">
        <v>11</v>
      </c>
      <c r="G697" s="4" t="str">
        <f>"Fachbezogenes Seminar"</f>
        <v>Fachbezogenes Seminar</v>
      </c>
      <c r="H697" s="4" t="s">
        <v>11</v>
      </c>
    </row>
    <row r="698" spans="1:8" x14ac:dyDescent="0.2">
      <c r="A698" s="4" t="str">
        <f>"08.110/005/2025"</f>
        <v>08.110/005/2025</v>
      </c>
      <c r="B698" s="4" t="str">
        <f>"Beamtenrecht - Einführung"</f>
        <v>Beamtenrecht - Einführung</v>
      </c>
      <c r="C698" s="5">
        <v>45939</v>
      </c>
      <c r="D698" s="5">
        <v>45953</v>
      </c>
      <c r="E698" s="4" t="str">
        <f>"2x2 Tage"</f>
        <v>2x2 Tage</v>
      </c>
      <c r="F698" s="6">
        <v>860</v>
      </c>
      <c r="G698" s="4"/>
      <c r="H698" s="4" t="s">
        <v>11</v>
      </c>
    </row>
    <row r="699" spans="1:8" x14ac:dyDescent="0.2">
      <c r="A699" s="4" t="str">
        <f>"08.110/005 a/2025"</f>
        <v>08.110/005 a/2025</v>
      </c>
      <c r="B699" s="4" t="str">
        <f>"Beamtenrecht - Einführung "</f>
        <v xml:space="preserve">Beamtenrecht - Einführung </v>
      </c>
      <c r="C699" s="5">
        <v>45939</v>
      </c>
      <c r="D699" s="5">
        <v>45940</v>
      </c>
      <c r="E699" s="4"/>
      <c r="F699" s="6" t="s">
        <v>11</v>
      </c>
      <c r="G699" s="4" t="str">
        <f>"Fachbezogenes Seminar"</f>
        <v>Fachbezogenes Seminar</v>
      </c>
      <c r="H699" s="4" t="s">
        <v>11</v>
      </c>
    </row>
    <row r="700" spans="1:8" x14ac:dyDescent="0.2">
      <c r="A700" s="4" t="str">
        <f>"08.110/005 b/2025"</f>
        <v>08.110/005 b/2025</v>
      </c>
      <c r="B700" s="4" t="str">
        <f>"Beamtenrecht - Einführung "</f>
        <v xml:space="preserve">Beamtenrecht - Einführung </v>
      </c>
      <c r="C700" s="5">
        <v>45952</v>
      </c>
      <c r="D700" s="5">
        <v>45953</v>
      </c>
      <c r="E700" s="4"/>
      <c r="F700" s="6" t="s">
        <v>11</v>
      </c>
      <c r="G700" s="4" t="str">
        <f>"Fachbezogenes Seminar"</f>
        <v>Fachbezogenes Seminar</v>
      </c>
      <c r="H700" s="4" t="s">
        <v>11</v>
      </c>
    </row>
    <row r="701" spans="1:8" x14ac:dyDescent="0.2">
      <c r="A701" s="4" t="str">
        <f>"08.110/006/2025"</f>
        <v>08.110/006/2025</v>
      </c>
      <c r="B701" s="4" t="str">
        <f>"Beamtenrecht - Einführung"</f>
        <v>Beamtenrecht - Einführung</v>
      </c>
      <c r="C701" s="5">
        <v>45964</v>
      </c>
      <c r="D701" s="5">
        <v>45993</v>
      </c>
      <c r="E701" s="4" t="str">
        <f>"2x2 Tage"</f>
        <v>2x2 Tage</v>
      </c>
      <c r="F701" s="6">
        <v>860</v>
      </c>
      <c r="G701" s="4"/>
      <c r="H701" s="4" t="s">
        <v>11</v>
      </c>
    </row>
    <row r="702" spans="1:8" x14ac:dyDescent="0.2">
      <c r="A702" s="4" t="str">
        <f>"08.110/006 a/2025"</f>
        <v>08.110/006 a/2025</v>
      </c>
      <c r="B702" s="4" t="str">
        <f>"Beamtenrecht - Einführung "</f>
        <v xml:space="preserve">Beamtenrecht - Einführung </v>
      </c>
      <c r="C702" s="5">
        <v>45964</v>
      </c>
      <c r="D702" s="5">
        <v>45965</v>
      </c>
      <c r="E702" s="4"/>
      <c r="F702" s="6" t="s">
        <v>11</v>
      </c>
      <c r="G702" s="4" t="str">
        <f>"Fachbezogenes Seminar"</f>
        <v>Fachbezogenes Seminar</v>
      </c>
      <c r="H702" s="4" t="s">
        <v>11</v>
      </c>
    </row>
    <row r="703" spans="1:8" x14ac:dyDescent="0.2">
      <c r="A703" s="4" t="str">
        <f>"08.110/006 b/2025"</f>
        <v>08.110/006 b/2025</v>
      </c>
      <c r="B703" s="4" t="str">
        <f>"Beamtenrecht - Einführung "</f>
        <v xml:space="preserve">Beamtenrecht - Einführung </v>
      </c>
      <c r="C703" s="5">
        <v>45992</v>
      </c>
      <c r="D703" s="5">
        <v>45993</v>
      </c>
      <c r="E703" s="4"/>
      <c r="F703" s="6" t="s">
        <v>11</v>
      </c>
      <c r="G703" s="4" t="str">
        <f>"Fachbezogenes Seminar"</f>
        <v>Fachbezogenes Seminar</v>
      </c>
      <c r="H703" s="4" t="s">
        <v>11</v>
      </c>
    </row>
    <row r="704" spans="1:8" x14ac:dyDescent="0.2">
      <c r="A704" s="4" t="str">
        <f>"08.120/001/2025"</f>
        <v>08.120/001/2025</v>
      </c>
      <c r="B704" s="4" t="str">
        <f>"Disziplinarrecht - das Disziplinarverfahren"</f>
        <v>Disziplinarrecht - das Disziplinarverfahren</v>
      </c>
      <c r="C704" s="5">
        <v>45670</v>
      </c>
      <c r="D704" s="5">
        <v>45741</v>
      </c>
      <c r="E704" s="4" t="str">
        <f>"2x2 Tage"</f>
        <v>2x2 Tage</v>
      </c>
      <c r="F704" s="6">
        <v>860</v>
      </c>
      <c r="G704" s="4"/>
      <c r="H704" s="4" t="s">
        <v>11</v>
      </c>
    </row>
    <row r="705" spans="1:8" x14ac:dyDescent="0.2">
      <c r="A705" s="4" t="str">
        <f>"08.120/001 a/2025"</f>
        <v>08.120/001 a/2025</v>
      </c>
      <c r="B705" s="4" t="str">
        <f>"Disziplinarrecht - Das Disziplinarverfahren - "</f>
        <v xml:space="preserve">Disziplinarrecht - Das Disziplinarverfahren - </v>
      </c>
      <c r="C705" s="5">
        <v>45670</v>
      </c>
      <c r="D705" s="5">
        <v>45671</v>
      </c>
      <c r="E705" s="4"/>
      <c r="F705" s="6" t="s">
        <v>11</v>
      </c>
      <c r="G705" s="4" t="str">
        <f>"Fachbezogenes Seminar"</f>
        <v>Fachbezogenes Seminar</v>
      </c>
      <c r="H705" s="4" t="s">
        <v>11</v>
      </c>
    </row>
    <row r="706" spans="1:8" x14ac:dyDescent="0.2">
      <c r="A706" s="4" t="str">
        <f>"08.120/001 b/2025"</f>
        <v>08.120/001 b/2025</v>
      </c>
      <c r="B706" s="4" t="str">
        <f>"Disziplinarrecht - Das Disziplinarverfahren - "</f>
        <v xml:space="preserve">Disziplinarrecht - Das Disziplinarverfahren - </v>
      </c>
      <c r="C706" s="5">
        <v>45740</v>
      </c>
      <c r="D706" s="5">
        <v>45741</v>
      </c>
      <c r="E706" s="4"/>
      <c r="F706" s="6" t="s">
        <v>11</v>
      </c>
      <c r="G706" s="4" t="str">
        <f>"Fachbezogenes Seminar"</f>
        <v>Fachbezogenes Seminar</v>
      </c>
      <c r="H706" s="4" t="s">
        <v>11</v>
      </c>
    </row>
    <row r="707" spans="1:8" x14ac:dyDescent="0.2">
      <c r="A707" s="4" t="str">
        <f>"08.120/002/2025"</f>
        <v>08.120/002/2025</v>
      </c>
      <c r="B707" s="4" t="str">
        <f>"Disziplinarrecht - das Disziplinarverfahren"</f>
        <v>Disziplinarrecht - das Disziplinarverfahren</v>
      </c>
      <c r="C707" s="5">
        <v>45910</v>
      </c>
      <c r="D707" s="5">
        <v>45951</v>
      </c>
      <c r="E707" s="4" t="str">
        <f>"2x2 Tage"</f>
        <v>2x2 Tage</v>
      </c>
      <c r="F707" s="6">
        <v>860</v>
      </c>
      <c r="G707" s="4"/>
      <c r="H707" s="4" t="s">
        <v>11</v>
      </c>
    </row>
    <row r="708" spans="1:8" x14ac:dyDescent="0.2">
      <c r="A708" s="4" t="str">
        <f>"08.120/002 a/2025"</f>
        <v>08.120/002 a/2025</v>
      </c>
      <c r="B708" s="4" t="str">
        <f>"Disziplinarrecht - Das Disziplinarverfahren - "</f>
        <v xml:space="preserve">Disziplinarrecht - Das Disziplinarverfahren - </v>
      </c>
      <c r="C708" s="5">
        <v>45910</v>
      </c>
      <c r="D708" s="5">
        <v>45911</v>
      </c>
      <c r="E708" s="4"/>
      <c r="F708" s="6" t="s">
        <v>11</v>
      </c>
      <c r="G708" s="4" t="str">
        <f t="shared" ref="G708:G723" si="56">"Fachbezogenes Seminar"</f>
        <v>Fachbezogenes Seminar</v>
      </c>
      <c r="H708" s="4" t="s">
        <v>11</v>
      </c>
    </row>
    <row r="709" spans="1:8" x14ac:dyDescent="0.2">
      <c r="A709" s="4" t="str">
        <f>"08.120/002 b/2025"</f>
        <v>08.120/002 b/2025</v>
      </c>
      <c r="B709" s="4" t="str">
        <f>"Disziplinarrecht - Das Disziplinarverfahren - "</f>
        <v xml:space="preserve">Disziplinarrecht - Das Disziplinarverfahren - </v>
      </c>
      <c r="C709" s="5">
        <v>45950</v>
      </c>
      <c r="D709" s="5">
        <v>45951</v>
      </c>
      <c r="E709" s="4"/>
      <c r="F709" s="6" t="s">
        <v>11</v>
      </c>
      <c r="G709" s="4" t="str">
        <f t="shared" si="56"/>
        <v>Fachbezogenes Seminar</v>
      </c>
      <c r="H709" s="4" t="s">
        <v>11</v>
      </c>
    </row>
    <row r="710" spans="1:8" x14ac:dyDescent="0.2">
      <c r="A710" s="4" t="str">
        <f>"08.128/001/2025"</f>
        <v>08.128/001/2025</v>
      </c>
      <c r="B710" s="4" t="str">
        <f>"Die dienstliche Beurteilung - Wesen und Rechtsprobleme"</f>
        <v>Die dienstliche Beurteilung - Wesen und Rechtsprobleme</v>
      </c>
      <c r="C710" s="5">
        <v>45709</v>
      </c>
      <c r="D710" s="5">
        <v>45709</v>
      </c>
      <c r="E710" s="4" t="str">
        <f>"1 Tag"</f>
        <v>1 Tag</v>
      </c>
      <c r="F710" s="6">
        <v>200</v>
      </c>
      <c r="G710" s="4" t="str">
        <f t="shared" si="56"/>
        <v>Fachbezogenes Seminar</v>
      </c>
      <c r="H710" s="4" t="s">
        <v>11</v>
      </c>
    </row>
    <row r="711" spans="1:8" x14ac:dyDescent="0.2">
      <c r="A711" s="4" t="str">
        <f>"08.150/001/2025"</f>
        <v>08.150/001/2025</v>
      </c>
      <c r="B711" s="4" t="str">
        <f>"Dienstunfähigkeitsrecht - Einführung"</f>
        <v>Dienstunfähigkeitsrecht - Einführung</v>
      </c>
      <c r="C711" s="5">
        <v>45666</v>
      </c>
      <c r="D711" s="5">
        <v>45667</v>
      </c>
      <c r="E711" s="4" t="str">
        <f>"2 Tage"</f>
        <v>2 Tage</v>
      </c>
      <c r="F711" s="6">
        <v>430</v>
      </c>
      <c r="G711" s="4" t="str">
        <f t="shared" si="56"/>
        <v>Fachbezogenes Seminar</v>
      </c>
      <c r="H711" s="4" t="s">
        <v>11</v>
      </c>
    </row>
    <row r="712" spans="1:8" x14ac:dyDescent="0.2">
      <c r="A712" s="4" t="str">
        <f>"08.150/002/2025"</f>
        <v>08.150/002/2025</v>
      </c>
      <c r="B712" s="4" t="str">
        <f>"Dienstunfähigkeitsrecht - Einführung"</f>
        <v>Dienstunfähigkeitsrecht - Einführung</v>
      </c>
      <c r="C712" s="5">
        <v>45931</v>
      </c>
      <c r="D712" s="5">
        <v>45932</v>
      </c>
      <c r="E712" s="4" t="str">
        <f>"2 Tage"</f>
        <v>2 Tage</v>
      </c>
      <c r="F712" s="6">
        <v>430</v>
      </c>
      <c r="G712" s="4" t="str">
        <f t="shared" si="56"/>
        <v>Fachbezogenes Seminar</v>
      </c>
      <c r="H712" s="4" t="s">
        <v>11</v>
      </c>
    </row>
    <row r="713" spans="1:8" x14ac:dyDescent="0.2">
      <c r="A713" s="4" t="str">
        <f>"08.152/001/2025"</f>
        <v>08.152/001/2025</v>
      </c>
      <c r="B713" s="4" t="str">
        <f>"Aktuelle Entwicklungen im Dienstunfähigkeitsrecht - Vertiefungsworkshop"</f>
        <v>Aktuelle Entwicklungen im Dienstunfähigkeitsrecht - Vertiefungsworkshop</v>
      </c>
      <c r="C713" s="5">
        <v>45943</v>
      </c>
      <c r="D713" s="5">
        <v>45944</v>
      </c>
      <c r="E713" s="4" t="str">
        <f>"2 Tage"</f>
        <v>2 Tage</v>
      </c>
      <c r="F713" s="6">
        <v>430</v>
      </c>
      <c r="G713" s="4" t="str">
        <f t="shared" si="56"/>
        <v>Fachbezogenes Seminar</v>
      </c>
      <c r="H713" s="4" t="s">
        <v>11</v>
      </c>
    </row>
    <row r="714" spans="1:8" x14ac:dyDescent="0.2">
      <c r="A714" s="4" t="str">
        <f>"08.210/001/2025"</f>
        <v>08.210/001/2025</v>
      </c>
      <c r="B714" s="4" t="str">
        <f>"Arbeitsrecht - Die richtige Vorgehensweise der Personalabteilung"</f>
        <v>Arbeitsrecht - Die richtige Vorgehensweise der Personalabteilung</v>
      </c>
      <c r="C714" s="5">
        <v>45782</v>
      </c>
      <c r="D714" s="5">
        <v>45784</v>
      </c>
      <c r="E714" s="4" t="str">
        <f>"3 Tage"</f>
        <v>3 Tage</v>
      </c>
      <c r="F714" s="6">
        <v>670</v>
      </c>
      <c r="G714" s="4" t="str">
        <f t="shared" si="56"/>
        <v>Fachbezogenes Seminar</v>
      </c>
      <c r="H714" s="4" t="s">
        <v>11</v>
      </c>
    </row>
    <row r="715" spans="1:8" x14ac:dyDescent="0.2">
      <c r="A715" s="4" t="str">
        <f>"08.210/002/2025"</f>
        <v>08.210/002/2025</v>
      </c>
      <c r="B715" s="4" t="str">
        <f>"Arbeitsrecht - Die richtige Vorgehensweise der Personalabteilung"</f>
        <v>Arbeitsrecht - Die richtige Vorgehensweise der Personalabteilung</v>
      </c>
      <c r="C715" s="5">
        <v>45971</v>
      </c>
      <c r="D715" s="5">
        <v>45973</v>
      </c>
      <c r="E715" s="4" t="str">
        <f>"3 Tage"</f>
        <v>3 Tage</v>
      </c>
      <c r="F715" s="6">
        <v>670</v>
      </c>
      <c r="G715" s="4" t="str">
        <f t="shared" si="56"/>
        <v>Fachbezogenes Seminar</v>
      </c>
      <c r="H715" s="4" t="s">
        <v>11</v>
      </c>
    </row>
    <row r="716" spans="1:8" x14ac:dyDescent="0.2">
      <c r="A716" s="4" t="str">
        <f>"08.212/001/2025"</f>
        <v>08.212/001/2025</v>
      </c>
      <c r="B716" s="4" t="str">
        <f>"Das Personalauswahlverfahren - rechtliche Fragestellungen (AGG, SGB IX, LGG, LPVG) mit aktueller Rechtsprechung"</f>
        <v>Das Personalauswahlverfahren - rechtliche Fragestellungen (AGG, SGB IX, LGG, LPVG) mit aktueller Rechtsprechung</v>
      </c>
      <c r="C716" s="5">
        <v>45666</v>
      </c>
      <c r="D716" s="5">
        <v>45667</v>
      </c>
      <c r="E716" s="4" t="str">
        <f>"2 Tage"</f>
        <v>2 Tage</v>
      </c>
      <c r="F716" s="6">
        <v>630</v>
      </c>
      <c r="G716" s="4" t="str">
        <f t="shared" si="56"/>
        <v>Fachbezogenes Seminar</v>
      </c>
      <c r="H716" s="4" t="s">
        <v>11</v>
      </c>
    </row>
    <row r="717" spans="1:8" x14ac:dyDescent="0.2">
      <c r="A717" s="4" t="str">
        <f>"08.212/002/2025"</f>
        <v>08.212/002/2025</v>
      </c>
      <c r="B717" s="4" t="str">
        <f>"Das Personalauswahlverfahren - rechtliche Fragestellungen (AGG, SGB IX, LGG, LPVG) mit aktueller Rechtsprechung"</f>
        <v>Das Personalauswahlverfahren - rechtliche Fragestellungen (AGG, SGB IX, LGG, LPVG) mit aktueller Rechtsprechung</v>
      </c>
      <c r="C717" s="5">
        <v>45981</v>
      </c>
      <c r="D717" s="5">
        <v>45982</v>
      </c>
      <c r="E717" s="4" t="str">
        <f>"2 Tage"</f>
        <v>2 Tage</v>
      </c>
      <c r="F717" s="6">
        <v>630</v>
      </c>
      <c r="G717" s="4" t="str">
        <f t="shared" si="56"/>
        <v>Fachbezogenes Seminar</v>
      </c>
      <c r="H717" s="4" t="s">
        <v>11</v>
      </c>
    </row>
    <row r="718" spans="1:8" x14ac:dyDescent="0.2">
      <c r="A718" s="4" t="str">
        <f>"08.220/001/2025"</f>
        <v>08.220/001/2025</v>
      </c>
      <c r="B718" s="4" t="str">
        <f>"TV-L - Einführung"</f>
        <v>TV-L - Einführung</v>
      </c>
      <c r="C718" s="5">
        <v>45714</v>
      </c>
      <c r="D718" s="5">
        <v>45716</v>
      </c>
      <c r="E718" s="4" t="str">
        <f>"3 Tage"</f>
        <v>3 Tage</v>
      </c>
      <c r="F718" s="6">
        <v>670</v>
      </c>
      <c r="G718" s="4" t="str">
        <f t="shared" si="56"/>
        <v>Fachbezogenes Seminar</v>
      </c>
      <c r="H718" s="4" t="s">
        <v>11</v>
      </c>
    </row>
    <row r="719" spans="1:8" x14ac:dyDescent="0.2">
      <c r="A719" s="4" t="str">
        <f>"08.220/002/2025"</f>
        <v>08.220/002/2025</v>
      </c>
      <c r="B719" s="4" t="str">
        <f>"TV-L - Einführung"</f>
        <v>TV-L - Einführung</v>
      </c>
      <c r="C719" s="5">
        <v>45866</v>
      </c>
      <c r="D719" s="5">
        <v>45868</v>
      </c>
      <c r="E719" s="4" t="str">
        <f>"3 Tage"</f>
        <v>3 Tage</v>
      </c>
      <c r="F719" s="6">
        <v>670</v>
      </c>
      <c r="G719" s="4" t="str">
        <f t="shared" si="56"/>
        <v>Fachbezogenes Seminar</v>
      </c>
      <c r="H719" s="4" t="s">
        <v>11</v>
      </c>
    </row>
    <row r="720" spans="1:8" x14ac:dyDescent="0.2">
      <c r="A720" s="4" t="str">
        <f>"08.220/003/2025"</f>
        <v>08.220/003/2025</v>
      </c>
      <c r="B720" s="4" t="str">
        <f>"TV-L - Einführung"</f>
        <v>TV-L - Einführung</v>
      </c>
      <c r="C720" s="5">
        <v>45959</v>
      </c>
      <c r="D720" s="5">
        <v>45961</v>
      </c>
      <c r="E720" s="4" t="str">
        <f>"3 Tage"</f>
        <v>3 Tage</v>
      </c>
      <c r="F720" s="6">
        <v>670</v>
      </c>
      <c r="G720" s="4" t="str">
        <f t="shared" si="56"/>
        <v>Fachbezogenes Seminar</v>
      </c>
      <c r="H720" s="4" t="s">
        <v>11</v>
      </c>
    </row>
    <row r="721" spans="1:8" x14ac:dyDescent="0.2">
      <c r="A721" s="4" t="str">
        <f>"08.220/004/2025"</f>
        <v>08.220/004/2025</v>
      </c>
      <c r="B721" s="4" t="str">
        <f>"TV-L - Einführung"</f>
        <v>TV-L - Einführung</v>
      </c>
      <c r="C721" s="5">
        <v>45992</v>
      </c>
      <c r="D721" s="5">
        <v>45994</v>
      </c>
      <c r="E721" s="4" t="str">
        <f>"3 Tage"</f>
        <v>3 Tage</v>
      </c>
      <c r="F721" s="6">
        <v>670</v>
      </c>
      <c r="G721" s="4" t="str">
        <f t="shared" si="56"/>
        <v>Fachbezogenes Seminar</v>
      </c>
      <c r="H721" s="4" t="s">
        <v>11</v>
      </c>
    </row>
    <row r="722" spans="1:8" x14ac:dyDescent="0.2">
      <c r="A722" s="4" t="str">
        <f>"08.222/001/2025"</f>
        <v>08.222/001/2025</v>
      </c>
      <c r="B722" s="4" t="str">
        <f>"Arbeits- und Tarifrecht - Workshop"</f>
        <v>Arbeits- und Tarifrecht - Workshop</v>
      </c>
      <c r="C722" s="5">
        <v>45733</v>
      </c>
      <c r="D722" s="5">
        <v>45734</v>
      </c>
      <c r="E722" s="4" t="str">
        <f>"2 Tage"</f>
        <v>2 Tage</v>
      </c>
      <c r="F722" s="6">
        <v>490</v>
      </c>
      <c r="G722" s="4" t="str">
        <f t="shared" si="56"/>
        <v>Fachbezogenes Seminar</v>
      </c>
      <c r="H722" s="4" t="s">
        <v>11</v>
      </c>
    </row>
    <row r="723" spans="1:8" x14ac:dyDescent="0.2">
      <c r="A723" s="4" t="str">
        <f>"08.222/002/2025"</f>
        <v>08.222/002/2025</v>
      </c>
      <c r="B723" s="4" t="str">
        <f>"Arbeits- und Tarifrecht - Workshop"</f>
        <v>Arbeits- und Tarifrecht - Workshop</v>
      </c>
      <c r="C723" s="5">
        <v>45959</v>
      </c>
      <c r="D723" s="5">
        <v>45960</v>
      </c>
      <c r="E723" s="4" t="str">
        <f>"2 Tage"</f>
        <v>2 Tage</v>
      </c>
      <c r="F723" s="6">
        <v>490</v>
      </c>
      <c r="G723" s="4" t="str">
        <f t="shared" si="56"/>
        <v>Fachbezogenes Seminar</v>
      </c>
      <c r="H723" s="4" t="s">
        <v>11</v>
      </c>
    </row>
    <row r="724" spans="1:8" x14ac:dyDescent="0.2">
      <c r="A724" s="4" t="str">
        <f>"08.223/001/2025"</f>
        <v>08.223/001/2025</v>
      </c>
      <c r="B724" s="4" t="str">
        <f>"Rechtliche Grundlagen des Arbeits- und Tarifrechts - Spezial: Lehrerinnen und Lehrer"</f>
        <v>Rechtliche Grundlagen des Arbeits- und Tarifrechts - Spezial: Lehrerinnen und Lehrer</v>
      </c>
      <c r="C724" s="5">
        <v>45799</v>
      </c>
      <c r="D724" s="5">
        <v>45826</v>
      </c>
      <c r="E724" s="4" t="str">
        <f>"2x2 Tage"</f>
        <v>2x2 Tage</v>
      </c>
      <c r="F724" s="6">
        <v>1060</v>
      </c>
      <c r="G724" s="4"/>
      <c r="H724" s="4" t="s">
        <v>11</v>
      </c>
    </row>
    <row r="725" spans="1:8" x14ac:dyDescent="0.2">
      <c r="A725" s="4" t="str">
        <f>"08.223/001 a/2025"</f>
        <v>08.223/001 a/2025</v>
      </c>
      <c r="B725" s="4" t="str">
        <f>"TV-L - Arbeitsrechtliche Grundlagen Spezial Lehrerinnen und Lehrer"</f>
        <v>TV-L - Arbeitsrechtliche Grundlagen Spezial Lehrerinnen und Lehrer</v>
      </c>
      <c r="C725" s="5">
        <v>45799</v>
      </c>
      <c r="D725" s="5">
        <v>45800</v>
      </c>
      <c r="E725" s="4"/>
      <c r="F725" s="6" t="s">
        <v>11</v>
      </c>
      <c r="G725" s="4" t="str">
        <f>"Fachbezogenes Seminar"</f>
        <v>Fachbezogenes Seminar</v>
      </c>
      <c r="H725" s="4" t="s">
        <v>11</v>
      </c>
    </row>
    <row r="726" spans="1:8" x14ac:dyDescent="0.2">
      <c r="A726" s="4" t="str">
        <f>"08.223/001 b/2025"</f>
        <v>08.223/001 b/2025</v>
      </c>
      <c r="B726" s="4" t="str">
        <f>"TV-L - Arbeitsrechtliche Grundlagen Spezial Lehrerinnen und Lehrer"</f>
        <v>TV-L - Arbeitsrechtliche Grundlagen Spezial Lehrerinnen und Lehrer</v>
      </c>
      <c r="C726" s="5">
        <v>45825</v>
      </c>
      <c r="D726" s="5">
        <v>45826</v>
      </c>
      <c r="E726" s="4"/>
      <c r="F726" s="6" t="s">
        <v>11</v>
      </c>
      <c r="G726" s="4" t="str">
        <f>"Fachbezogenes Seminar"</f>
        <v>Fachbezogenes Seminar</v>
      </c>
      <c r="H726" s="4" t="s">
        <v>11</v>
      </c>
    </row>
    <row r="727" spans="1:8" x14ac:dyDescent="0.2">
      <c r="A727" s="4" t="str">
        <f>"08.223/002/2025"</f>
        <v>08.223/002/2025</v>
      </c>
      <c r="B727" s="4" t="str">
        <f>"Rechtliche Grundlagen des Arbeits- und Tarifrechts - Spezial: Lehrerinnen und Lehrer"</f>
        <v>Rechtliche Grundlagen des Arbeits- und Tarifrechts - Spezial: Lehrerinnen und Lehrer</v>
      </c>
      <c r="C727" s="5">
        <v>45939</v>
      </c>
      <c r="D727" s="5">
        <v>45965</v>
      </c>
      <c r="E727" s="4" t="str">
        <f>"2x2 Tage"</f>
        <v>2x2 Tage</v>
      </c>
      <c r="F727" s="6">
        <v>1060</v>
      </c>
      <c r="G727" s="4"/>
      <c r="H727" s="4" t="s">
        <v>11</v>
      </c>
    </row>
    <row r="728" spans="1:8" x14ac:dyDescent="0.2">
      <c r="A728" s="4" t="str">
        <f>"08.223/002 a/2025"</f>
        <v>08.223/002 a/2025</v>
      </c>
      <c r="B728" s="4" t="str">
        <f>"TV-L - Arbeitsrechtliche Grundlagen Spezial Lehrerinnen und Lehrer"</f>
        <v>TV-L - Arbeitsrechtliche Grundlagen Spezial Lehrerinnen und Lehrer</v>
      </c>
      <c r="C728" s="5">
        <v>45939</v>
      </c>
      <c r="D728" s="5">
        <v>45940</v>
      </c>
      <c r="E728" s="4"/>
      <c r="F728" s="6" t="s">
        <v>11</v>
      </c>
      <c r="G728" s="4" t="str">
        <f>"Fachbezogenes Seminar"</f>
        <v>Fachbezogenes Seminar</v>
      </c>
      <c r="H728" s="4" t="s">
        <v>11</v>
      </c>
    </row>
    <row r="729" spans="1:8" x14ac:dyDescent="0.2">
      <c r="A729" s="4" t="str">
        <f>"08.223/002 b/2025"</f>
        <v>08.223/002 b/2025</v>
      </c>
      <c r="B729" s="4" t="str">
        <f>"TV-L - Arbeitsrechtliche Grundlagen Spezial Lehrerinnen und Lehrer"</f>
        <v>TV-L - Arbeitsrechtliche Grundlagen Spezial Lehrerinnen und Lehrer</v>
      </c>
      <c r="C729" s="5">
        <v>45964</v>
      </c>
      <c r="D729" s="5">
        <v>45965</v>
      </c>
      <c r="E729" s="4"/>
      <c r="F729" s="6" t="s">
        <v>11</v>
      </c>
      <c r="G729" s="4" t="str">
        <f>"Fachbezogenes Seminar"</f>
        <v>Fachbezogenes Seminar</v>
      </c>
      <c r="H729" s="4" t="s">
        <v>11</v>
      </c>
    </row>
    <row r="730" spans="1:8" x14ac:dyDescent="0.2">
      <c r="A730" s="4" t="str">
        <f>"08.227/001/2025"</f>
        <v>08.227/001/2025</v>
      </c>
      <c r="B730" s="4" t="str">
        <f t="shared" ref="B730:B735" si="57">"TV-L Einführung - Blended Learning"</f>
        <v>TV-L Einführung - Blended Learning</v>
      </c>
      <c r="C730" s="5">
        <v>45712</v>
      </c>
      <c r="D730" s="5">
        <v>45714</v>
      </c>
      <c r="E730" s="4" t="str">
        <f>"3 Tage"</f>
        <v>3 Tage</v>
      </c>
      <c r="F730" s="6">
        <v>610</v>
      </c>
      <c r="G730" s="4"/>
      <c r="H730" s="4" t="s">
        <v>11</v>
      </c>
    </row>
    <row r="731" spans="1:8" x14ac:dyDescent="0.2">
      <c r="A731" s="4" t="str">
        <f>"08.227/001 a/2025"</f>
        <v>08.227/001 a/2025</v>
      </c>
      <c r="B731" s="4" t="str">
        <f t="shared" si="57"/>
        <v>TV-L Einführung - Blended Learning</v>
      </c>
      <c r="C731" s="5">
        <v>45712</v>
      </c>
      <c r="D731" s="5">
        <v>45713</v>
      </c>
      <c r="E731" s="4"/>
      <c r="F731" s="6" t="s">
        <v>11</v>
      </c>
      <c r="G731" s="4" t="str">
        <f>"Fachbezogenes Seminar"</f>
        <v>Fachbezogenes Seminar</v>
      </c>
      <c r="H731" s="4" t="s">
        <v>11</v>
      </c>
    </row>
    <row r="732" spans="1:8" x14ac:dyDescent="0.2">
      <c r="A732" s="4" t="str">
        <f>"08.227/001 b/2025"</f>
        <v>08.227/001 b/2025</v>
      </c>
      <c r="B732" s="4" t="str">
        <f t="shared" si="57"/>
        <v>TV-L Einführung - Blended Learning</v>
      </c>
      <c r="C732" s="5">
        <v>45714</v>
      </c>
      <c r="D732" s="5">
        <v>45714</v>
      </c>
      <c r="E732" s="4"/>
      <c r="F732" s="6" t="s">
        <v>11</v>
      </c>
      <c r="G732" s="4" t="str">
        <f>"Fachbezogenes Seminar"</f>
        <v>Fachbezogenes Seminar</v>
      </c>
      <c r="H732" s="4" t="s">
        <v>11</v>
      </c>
    </row>
    <row r="733" spans="1:8" x14ac:dyDescent="0.2">
      <c r="A733" s="4" t="str">
        <f>"08.227/002/2025"</f>
        <v>08.227/002/2025</v>
      </c>
      <c r="B733" s="4" t="str">
        <f t="shared" si="57"/>
        <v>TV-L Einführung - Blended Learning</v>
      </c>
      <c r="C733" s="5">
        <v>45810</v>
      </c>
      <c r="D733" s="5">
        <v>45812</v>
      </c>
      <c r="E733" s="4" t="str">
        <f>"3 Tage"</f>
        <v>3 Tage</v>
      </c>
      <c r="F733" s="6">
        <v>610</v>
      </c>
      <c r="G733" s="4"/>
      <c r="H733" s="4" t="s">
        <v>11</v>
      </c>
    </row>
    <row r="734" spans="1:8" x14ac:dyDescent="0.2">
      <c r="A734" s="4" t="str">
        <f>"08.227/002 a/2025"</f>
        <v>08.227/002 a/2025</v>
      </c>
      <c r="B734" s="4" t="str">
        <f t="shared" si="57"/>
        <v>TV-L Einführung - Blended Learning</v>
      </c>
      <c r="C734" s="5">
        <v>45810</v>
      </c>
      <c r="D734" s="5">
        <v>45811</v>
      </c>
      <c r="E734" s="4"/>
      <c r="F734" s="6" t="s">
        <v>11</v>
      </c>
      <c r="G734" s="4" t="str">
        <f t="shared" ref="G734:G742" si="58">"Fachbezogenes Seminar"</f>
        <v>Fachbezogenes Seminar</v>
      </c>
      <c r="H734" s="4" t="s">
        <v>11</v>
      </c>
    </row>
    <row r="735" spans="1:8" x14ac:dyDescent="0.2">
      <c r="A735" s="4" t="str">
        <f>"08.227/002 b/2025"</f>
        <v>08.227/002 b/2025</v>
      </c>
      <c r="B735" s="4" t="str">
        <f t="shared" si="57"/>
        <v>TV-L Einführung - Blended Learning</v>
      </c>
      <c r="C735" s="5">
        <v>45812</v>
      </c>
      <c r="D735" s="5">
        <v>45812</v>
      </c>
      <c r="E735" s="4"/>
      <c r="F735" s="6" t="s">
        <v>11</v>
      </c>
      <c r="G735" s="4" t="str">
        <f t="shared" si="58"/>
        <v>Fachbezogenes Seminar</v>
      </c>
      <c r="H735" s="4" t="s">
        <v>11</v>
      </c>
    </row>
    <row r="736" spans="1:8" x14ac:dyDescent="0.2">
      <c r="A736" s="4" t="str">
        <f>"08.228/001/2025"</f>
        <v>08.228/001/2025</v>
      </c>
      <c r="B736" s="4" t="str">
        <f>"TV-L - Entgeltfortzahlungen"</f>
        <v>TV-L - Entgeltfortzahlungen</v>
      </c>
      <c r="C736" s="5">
        <v>45730</v>
      </c>
      <c r="D736" s="5">
        <v>45730</v>
      </c>
      <c r="E736" s="4" t="str">
        <f>"1 Tag"</f>
        <v>1 Tag</v>
      </c>
      <c r="F736" s="6">
        <v>190</v>
      </c>
      <c r="G736" s="4" t="str">
        <f t="shared" si="58"/>
        <v>Fachbezogenes Seminar</v>
      </c>
      <c r="H736" s="4" t="s">
        <v>11</v>
      </c>
    </row>
    <row r="737" spans="1:8" x14ac:dyDescent="0.2">
      <c r="A737" s="4" t="str">
        <f>"08.228/002/2025"</f>
        <v>08.228/002/2025</v>
      </c>
      <c r="B737" s="4" t="str">
        <f>"TV-L - Entgeltfortzahlungen"</f>
        <v>TV-L - Entgeltfortzahlungen</v>
      </c>
      <c r="C737" s="5">
        <v>45968</v>
      </c>
      <c r="D737" s="5">
        <v>45968</v>
      </c>
      <c r="E737" s="4" t="str">
        <f>"1 Tag"</f>
        <v>1 Tag</v>
      </c>
      <c r="F737" s="6">
        <v>190</v>
      </c>
      <c r="G737" s="4" t="str">
        <f t="shared" si="58"/>
        <v>Fachbezogenes Seminar</v>
      </c>
      <c r="H737" s="4" t="s">
        <v>11</v>
      </c>
    </row>
    <row r="738" spans="1:8" x14ac:dyDescent="0.2">
      <c r="A738" s="4" t="str">
        <f>"08.230/001/2025"</f>
        <v>08.230/001/2025</v>
      </c>
      <c r="B738" s="4" t="str">
        <f>"TV-L - schulspezifische Regelungen"</f>
        <v>TV-L - schulspezifische Regelungen</v>
      </c>
      <c r="C738" s="5">
        <v>45743</v>
      </c>
      <c r="D738" s="5">
        <v>45744</v>
      </c>
      <c r="E738" s="4" t="str">
        <f>"2 Tage"</f>
        <v>2 Tage</v>
      </c>
      <c r="F738" s="6">
        <v>630</v>
      </c>
      <c r="G738" s="4" t="str">
        <f t="shared" si="58"/>
        <v>Fachbezogenes Seminar</v>
      </c>
      <c r="H738" s="4" t="s">
        <v>11</v>
      </c>
    </row>
    <row r="739" spans="1:8" x14ac:dyDescent="0.2">
      <c r="A739" s="4" t="str">
        <f>"08.230/002/2025"</f>
        <v>08.230/002/2025</v>
      </c>
      <c r="B739" s="4" t="str">
        <f>"TV-L - schulspezifische Regelungen"</f>
        <v>TV-L - schulspezifische Regelungen</v>
      </c>
      <c r="C739" s="5">
        <v>45897</v>
      </c>
      <c r="D739" s="5">
        <v>45898</v>
      </c>
      <c r="E739" s="4" t="str">
        <f>"2 Tage"</f>
        <v>2 Tage</v>
      </c>
      <c r="F739" s="6">
        <v>630</v>
      </c>
      <c r="G739" s="4" t="str">
        <f t="shared" si="58"/>
        <v>Fachbezogenes Seminar</v>
      </c>
      <c r="H739" s="4" t="s">
        <v>11</v>
      </c>
    </row>
    <row r="740" spans="1:8" x14ac:dyDescent="0.2">
      <c r="A740" s="4" t="str">
        <f>"08.232/001/2025"</f>
        <v>08.232/001/2025</v>
      </c>
      <c r="B740" s="4" t="str">
        <f>"TV-L - Befristung von Arbeitsverträgen"</f>
        <v>TV-L - Befristung von Arbeitsverträgen</v>
      </c>
      <c r="C740" s="5">
        <v>45847</v>
      </c>
      <c r="D740" s="5">
        <v>45848</v>
      </c>
      <c r="E740" s="4" t="str">
        <f>"2 Tage"</f>
        <v>2 Tage</v>
      </c>
      <c r="F740" s="6">
        <v>430</v>
      </c>
      <c r="G740" s="4" t="str">
        <f t="shared" si="58"/>
        <v>Fachbezogenes Seminar</v>
      </c>
      <c r="H740" s="4" t="s">
        <v>11</v>
      </c>
    </row>
    <row r="741" spans="1:8" x14ac:dyDescent="0.2">
      <c r="A741" s="4" t="str">
        <f>"08.234/001/2025"</f>
        <v>08.234/001/2025</v>
      </c>
      <c r="B741" s="4" t="str">
        <f>"TV-L - Arbeitszeugnisse"</f>
        <v>TV-L - Arbeitszeugnisse</v>
      </c>
      <c r="C741" s="5">
        <v>45670</v>
      </c>
      <c r="D741" s="5">
        <v>45670</v>
      </c>
      <c r="E741" s="4" t="str">
        <f>"1 Tag"</f>
        <v>1 Tag</v>
      </c>
      <c r="F741" s="6">
        <v>190</v>
      </c>
      <c r="G741" s="4" t="str">
        <f t="shared" si="58"/>
        <v>Fachbezogenes Seminar</v>
      </c>
      <c r="H741" s="4" t="s">
        <v>11</v>
      </c>
    </row>
    <row r="742" spans="1:8" x14ac:dyDescent="0.2">
      <c r="A742" s="4" t="str">
        <f>"08.234/002/2025"</f>
        <v>08.234/002/2025</v>
      </c>
      <c r="B742" s="4" t="str">
        <f>"TV-L - Arbeitszeugnisse"</f>
        <v>TV-L - Arbeitszeugnisse</v>
      </c>
      <c r="C742" s="5">
        <v>45845</v>
      </c>
      <c r="D742" s="5">
        <v>45845</v>
      </c>
      <c r="E742" s="4" t="str">
        <f>"1 Tag"</f>
        <v>1 Tag</v>
      </c>
      <c r="F742" s="6">
        <v>190</v>
      </c>
      <c r="G742" s="4" t="str">
        <f t="shared" si="58"/>
        <v>Fachbezogenes Seminar</v>
      </c>
      <c r="H742" s="4" t="s">
        <v>11</v>
      </c>
    </row>
    <row r="743" spans="1:8" x14ac:dyDescent="0.2">
      <c r="A743" s="4" t="str">
        <f>"08.236/003/2025"</f>
        <v>08.236/003/2025</v>
      </c>
      <c r="B743" s="4" t="str">
        <f>"Tätigkeitsbewertung - Grundlagen"</f>
        <v>Tätigkeitsbewertung - Grundlagen</v>
      </c>
      <c r="C743" s="5">
        <v>45978</v>
      </c>
      <c r="D743" s="5">
        <v>46007</v>
      </c>
      <c r="E743" s="4" t="str">
        <f>"2x2 Tage"</f>
        <v>2x2 Tage</v>
      </c>
      <c r="F743" s="6">
        <v>860</v>
      </c>
      <c r="G743" s="4"/>
      <c r="H743" s="4" t="s">
        <v>11</v>
      </c>
    </row>
    <row r="744" spans="1:8" x14ac:dyDescent="0.2">
      <c r="A744" s="4" t="str">
        <f>"08.236/003 a/2025"</f>
        <v>08.236/003 a/2025</v>
      </c>
      <c r="B744" s="4" t="str">
        <f>"Tätigkeitsbewertung - Grundlagen - "</f>
        <v xml:space="preserve">Tätigkeitsbewertung - Grundlagen - </v>
      </c>
      <c r="C744" s="5">
        <v>45978</v>
      </c>
      <c r="D744" s="5">
        <v>45979</v>
      </c>
      <c r="E744" s="4"/>
      <c r="F744" s="6" t="s">
        <v>11</v>
      </c>
      <c r="G744" s="4" t="str">
        <f t="shared" ref="G744:G749" si="59">"Fachbezogenes Seminar"</f>
        <v>Fachbezogenes Seminar</v>
      </c>
      <c r="H744" s="4" t="s">
        <v>11</v>
      </c>
    </row>
    <row r="745" spans="1:8" x14ac:dyDescent="0.2">
      <c r="A745" s="4" t="str">
        <f>"08.236/003 b/2025"</f>
        <v>08.236/003 b/2025</v>
      </c>
      <c r="B745" s="4" t="str">
        <f>"Tätigkeitsbewertung - Grundlagen -"</f>
        <v>Tätigkeitsbewertung - Grundlagen -</v>
      </c>
      <c r="C745" s="5">
        <v>46006</v>
      </c>
      <c r="D745" s="5">
        <v>46007</v>
      </c>
      <c r="E745" s="4"/>
      <c r="F745" s="6" t="s">
        <v>11</v>
      </c>
      <c r="G745" s="4" t="str">
        <f t="shared" si="59"/>
        <v>Fachbezogenes Seminar</v>
      </c>
      <c r="H745" s="4" t="s">
        <v>11</v>
      </c>
    </row>
    <row r="746" spans="1:8" x14ac:dyDescent="0.2">
      <c r="A746" s="4" t="str">
        <f>"08.238/001/2025"</f>
        <v>08.238/001/2025</v>
      </c>
      <c r="B746" s="4" t="str">
        <f>"Tätigkeitsbeschreibung, Tätigkeitsbewertung und Eingruppierung - Vertiefungsworkshop"</f>
        <v>Tätigkeitsbeschreibung, Tätigkeitsbewertung und Eingruppierung - Vertiefungsworkshop</v>
      </c>
      <c r="C746" s="5">
        <v>45782</v>
      </c>
      <c r="D746" s="5">
        <v>45783</v>
      </c>
      <c r="E746" s="4" t="str">
        <f>"2 Tage"</f>
        <v>2 Tage</v>
      </c>
      <c r="F746" s="6">
        <v>660</v>
      </c>
      <c r="G746" s="4" t="str">
        <f t="shared" si="59"/>
        <v>Fachbezogenes Seminar</v>
      </c>
      <c r="H746" s="4" t="s">
        <v>13</v>
      </c>
    </row>
    <row r="747" spans="1:8" x14ac:dyDescent="0.2">
      <c r="A747" s="4" t="str">
        <f>"08.238/002/2025"</f>
        <v>08.238/002/2025</v>
      </c>
      <c r="B747" s="4" t="str">
        <f>"Tätigkeitsbeschreibung, Tätigkeitsbewertung und Eingruppierung - Vertiefungsworkshop"</f>
        <v>Tätigkeitsbeschreibung, Tätigkeitsbewertung und Eingruppierung - Vertiefungsworkshop</v>
      </c>
      <c r="C747" s="5">
        <v>45895</v>
      </c>
      <c r="D747" s="5">
        <v>45896</v>
      </c>
      <c r="E747" s="4" t="str">
        <f>"2 Tage"</f>
        <v>2 Tage</v>
      </c>
      <c r="F747" s="6">
        <v>660</v>
      </c>
      <c r="G747" s="4" t="str">
        <f t="shared" si="59"/>
        <v>Fachbezogenes Seminar</v>
      </c>
      <c r="H747" s="4" t="s">
        <v>13</v>
      </c>
    </row>
    <row r="748" spans="1:8" x14ac:dyDescent="0.2">
      <c r="A748" s="4" t="str">
        <f>"08.240/001/2025"</f>
        <v>08.240/001/2025</v>
      </c>
      <c r="B748" s="4" t="str">
        <f>"Tätigkeitsbewertung - Überblick für Führungskräfte"</f>
        <v>Tätigkeitsbewertung - Überblick für Führungskräfte</v>
      </c>
      <c r="C748" s="5">
        <v>45784</v>
      </c>
      <c r="D748" s="5">
        <v>45785</v>
      </c>
      <c r="E748" s="4" t="str">
        <f>"2 Tage"</f>
        <v>2 Tage</v>
      </c>
      <c r="F748" s="6">
        <v>660</v>
      </c>
      <c r="G748" s="4" t="str">
        <f t="shared" si="59"/>
        <v>Fachbezogenes Seminar</v>
      </c>
      <c r="H748" s="4" t="s">
        <v>11</v>
      </c>
    </row>
    <row r="749" spans="1:8" x14ac:dyDescent="0.2">
      <c r="A749" s="4" t="str">
        <f>"08.240/002/2025"</f>
        <v>08.240/002/2025</v>
      </c>
      <c r="B749" s="4" t="str">
        <f>"Tätigkeitsbewertung - Überblick für Führungskräfte"</f>
        <v>Tätigkeitsbewertung - Überblick für Führungskräfte</v>
      </c>
      <c r="C749" s="5">
        <v>45922</v>
      </c>
      <c r="D749" s="5">
        <v>45923</v>
      </c>
      <c r="E749" s="4" t="str">
        <f>"2 Tage"</f>
        <v>2 Tage</v>
      </c>
      <c r="F749" s="6">
        <v>660</v>
      </c>
      <c r="G749" s="4" t="str">
        <f t="shared" si="59"/>
        <v>Fachbezogenes Seminar</v>
      </c>
      <c r="H749" s="4" t="s">
        <v>11</v>
      </c>
    </row>
    <row r="750" spans="1:8" x14ac:dyDescent="0.2">
      <c r="A750" s="4" t="str">
        <f>"08.310/001/2025"</f>
        <v>08.310/001/2025</v>
      </c>
      <c r="B750" s="4" t="str">
        <f t="shared" ref="B750:B763" si="60">"Grundlagen des Personalwesens"</f>
        <v>Grundlagen des Personalwesens</v>
      </c>
      <c r="C750" s="5">
        <v>45665</v>
      </c>
      <c r="D750" s="5">
        <v>45667</v>
      </c>
      <c r="E750" s="4" t="str">
        <f t="shared" ref="E750:E763" si="61">"3 Tage"</f>
        <v>3 Tage</v>
      </c>
      <c r="F750" s="6">
        <v>670</v>
      </c>
      <c r="G750" s="4" t="str">
        <f t="shared" ref="G750:G763" si="62">"Führungsfortbildung"</f>
        <v>Führungsfortbildung</v>
      </c>
      <c r="H750" s="4" t="s">
        <v>11</v>
      </c>
    </row>
    <row r="751" spans="1:8" x14ac:dyDescent="0.2">
      <c r="A751" s="4" t="str">
        <f>"08.310/002/2025"</f>
        <v>08.310/002/2025</v>
      </c>
      <c r="B751" s="4" t="str">
        <f t="shared" si="60"/>
        <v>Grundlagen des Personalwesens</v>
      </c>
      <c r="C751" s="5">
        <v>45686</v>
      </c>
      <c r="D751" s="5">
        <v>45688</v>
      </c>
      <c r="E751" s="4" t="str">
        <f t="shared" si="61"/>
        <v>3 Tage</v>
      </c>
      <c r="F751" s="6">
        <v>670</v>
      </c>
      <c r="G751" s="4" t="str">
        <f t="shared" si="62"/>
        <v>Führungsfortbildung</v>
      </c>
      <c r="H751" s="4" t="s">
        <v>11</v>
      </c>
    </row>
    <row r="752" spans="1:8" x14ac:dyDescent="0.2">
      <c r="A752" s="4" t="str">
        <f>"08.310/003/2025"</f>
        <v>08.310/003/2025</v>
      </c>
      <c r="B752" s="4" t="str">
        <f t="shared" si="60"/>
        <v>Grundlagen des Personalwesens</v>
      </c>
      <c r="C752" s="5">
        <v>45693</v>
      </c>
      <c r="D752" s="5">
        <v>45695</v>
      </c>
      <c r="E752" s="4" t="str">
        <f t="shared" si="61"/>
        <v>3 Tage</v>
      </c>
      <c r="F752" s="6">
        <v>670</v>
      </c>
      <c r="G752" s="4" t="str">
        <f t="shared" si="62"/>
        <v>Führungsfortbildung</v>
      </c>
      <c r="H752" s="4" t="s">
        <v>11</v>
      </c>
    </row>
    <row r="753" spans="1:8" x14ac:dyDescent="0.2">
      <c r="A753" s="4" t="str">
        <f>"08.310/004/2025"</f>
        <v>08.310/004/2025</v>
      </c>
      <c r="B753" s="4" t="str">
        <f t="shared" si="60"/>
        <v>Grundlagen des Personalwesens</v>
      </c>
      <c r="C753" s="5">
        <v>45721</v>
      </c>
      <c r="D753" s="5">
        <v>45723</v>
      </c>
      <c r="E753" s="4" t="str">
        <f t="shared" si="61"/>
        <v>3 Tage</v>
      </c>
      <c r="F753" s="6">
        <v>670</v>
      </c>
      <c r="G753" s="4" t="str">
        <f t="shared" si="62"/>
        <v>Führungsfortbildung</v>
      </c>
      <c r="H753" s="4" t="s">
        <v>11</v>
      </c>
    </row>
    <row r="754" spans="1:8" x14ac:dyDescent="0.2">
      <c r="A754" s="4" t="str">
        <f>"08.310/005/2025"</f>
        <v>08.310/005/2025</v>
      </c>
      <c r="B754" s="4" t="str">
        <f t="shared" si="60"/>
        <v>Grundlagen des Personalwesens</v>
      </c>
      <c r="C754" s="5">
        <v>45749</v>
      </c>
      <c r="D754" s="5">
        <v>45751</v>
      </c>
      <c r="E754" s="4" t="str">
        <f t="shared" si="61"/>
        <v>3 Tage</v>
      </c>
      <c r="F754" s="6">
        <v>670</v>
      </c>
      <c r="G754" s="4" t="str">
        <f t="shared" si="62"/>
        <v>Führungsfortbildung</v>
      </c>
      <c r="H754" s="4" t="s">
        <v>11</v>
      </c>
    </row>
    <row r="755" spans="1:8" x14ac:dyDescent="0.2">
      <c r="A755" s="4" t="str">
        <f>"08.310/006/2025"</f>
        <v>08.310/006/2025</v>
      </c>
      <c r="B755" s="4" t="str">
        <f t="shared" si="60"/>
        <v>Grundlagen des Personalwesens</v>
      </c>
      <c r="C755" s="5">
        <v>45756</v>
      </c>
      <c r="D755" s="5">
        <v>45758</v>
      </c>
      <c r="E755" s="4" t="str">
        <f t="shared" si="61"/>
        <v>3 Tage</v>
      </c>
      <c r="F755" s="6">
        <v>670</v>
      </c>
      <c r="G755" s="4" t="str">
        <f t="shared" si="62"/>
        <v>Führungsfortbildung</v>
      </c>
      <c r="H755" s="4" t="s">
        <v>11</v>
      </c>
    </row>
    <row r="756" spans="1:8" x14ac:dyDescent="0.2">
      <c r="A756" s="4" t="str">
        <f>"08.310/007/2025"</f>
        <v>08.310/007/2025</v>
      </c>
      <c r="B756" s="4" t="str">
        <f t="shared" si="60"/>
        <v>Grundlagen des Personalwesens</v>
      </c>
      <c r="C756" s="5">
        <v>45798</v>
      </c>
      <c r="D756" s="5">
        <v>45800</v>
      </c>
      <c r="E756" s="4" t="str">
        <f t="shared" si="61"/>
        <v>3 Tage</v>
      </c>
      <c r="F756" s="6">
        <v>670</v>
      </c>
      <c r="G756" s="4" t="str">
        <f t="shared" si="62"/>
        <v>Führungsfortbildung</v>
      </c>
      <c r="H756" s="4" t="s">
        <v>11</v>
      </c>
    </row>
    <row r="757" spans="1:8" x14ac:dyDescent="0.2">
      <c r="A757" s="4" t="str">
        <f>"08.310/008/2025"</f>
        <v>08.310/008/2025</v>
      </c>
      <c r="B757" s="4" t="str">
        <f t="shared" si="60"/>
        <v>Grundlagen des Personalwesens</v>
      </c>
      <c r="C757" s="5">
        <v>45840</v>
      </c>
      <c r="D757" s="5">
        <v>45842</v>
      </c>
      <c r="E757" s="4" t="str">
        <f t="shared" si="61"/>
        <v>3 Tage</v>
      </c>
      <c r="F757" s="6">
        <v>670</v>
      </c>
      <c r="G757" s="4" t="str">
        <f t="shared" si="62"/>
        <v>Führungsfortbildung</v>
      </c>
      <c r="H757" s="4" t="s">
        <v>11</v>
      </c>
    </row>
    <row r="758" spans="1:8" x14ac:dyDescent="0.2">
      <c r="A758" s="4" t="str">
        <f>"08.310/009/2025"</f>
        <v>08.310/009/2025</v>
      </c>
      <c r="B758" s="4" t="str">
        <f t="shared" si="60"/>
        <v>Grundlagen des Personalwesens</v>
      </c>
      <c r="C758" s="5">
        <v>45896</v>
      </c>
      <c r="D758" s="5">
        <v>45898</v>
      </c>
      <c r="E758" s="4" t="str">
        <f t="shared" si="61"/>
        <v>3 Tage</v>
      </c>
      <c r="F758" s="6">
        <v>670</v>
      </c>
      <c r="G758" s="4" t="str">
        <f t="shared" si="62"/>
        <v>Führungsfortbildung</v>
      </c>
      <c r="H758" s="4" t="s">
        <v>11</v>
      </c>
    </row>
    <row r="759" spans="1:8" x14ac:dyDescent="0.2">
      <c r="A759" s="4" t="str">
        <f>"08.310/010/2025"</f>
        <v>08.310/010/2025</v>
      </c>
      <c r="B759" s="4" t="str">
        <f t="shared" si="60"/>
        <v>Grundlagen des Personalwesens</v>
      </c>
      <c r="C759" s="5">
        <v>45917</v>
      </c>
      <c r="D759" s="5">
        <v>45919</v>
      </c>
      <c r="E759" s="4" t="str">
        <f t="shared" si="61"/>
        <v>3 Tage</v>
      </c>
      <c r="F759" s="6">
        <v>670</v>
      </c>
      <c r="G759" s="4" t="str">
        <f t="shared" si="62"/>
        <v>Führungsfortbildung</v>
      </c>
      <c r="H759" s="4" t="s">
        <v>11</v>
      </c>
    </row>
    <row r="760" spans="1:8" x14ac:dyDescent="0.2">
      <c r="A760" s="4" t="str">
        <f>"08.310/011/2025"</f>
        <v>08.310/011/2025</v>
      </c>
      <c r="B760" s="4" t="str">
        <f t="shared" si="60"/>
        <v>Grundlagen des Personalwesens</v>
      </c>
      <c r="C760" s="5">
        <v>45952</v>
      </c>
      <c r="D760" s="5">
        <v>45954</v>
      </c>
      <c r="E760" s="4" t="str">
        <f t="shared" si="61"/>
        <v>3 Tage</v>
      </c>
      <c r="F760" s="6">
        <v>670</v>
      </c>
      <c r="G760" s="4" t="str">
        <f t="shared" si="62"/>
        <v>Führungsfortbildung</v>
      </c>
      <c r="H760" s="4" t="s">
        <v>11</v>
      </c>
    </row>
    <row r="761" spans="1:8" x14ac:dyDescent="0.2">
      <c r="A761" s="4" t="str">
        <f>"08.310/012/2025"</f>
        <v>08.310/012/2025</v>
      </c>
      <c r="B761" s="4" t="str">
        <f t="shared" si="60"/>
        <v>Grundlagen des Personalwesens</v>
      </c>
      <c r="C761" s="5">
        <v>45973</v>
      </c>
      <c r="D761" s="5">
        <v>45975</v>
      </c>
      <c r="E761" s="4" t="str">
        <f t="shared" si="61"/>
        <v>3 Tage</v>
      </c>
      <c r="F761" s="6">
        <v>670</v>
      </c>
      <c r="G761" s="4" t="str">
        <f t="shared" si="62"/>
        <v>Führungsfortbildung</v>
      </c>
      <c r="H761" s="4" t="s">
        <v>11</v>
      </c>
    </row>
    <row r="762" spans="1:8" x14ac:dyDescent="0.2">
      <c r="A762" s="4" t="str">
        <f>"08.310/013/2025"</f>
        <v>08.310/013/2025</v>
      </c>
      <c r="B762" s="4" t="str">
        <f t="shared" si="60"/>
        <v>Grundlagen des Personalwesens</v>
      </c>
      <c r="C762" s="5">
        <v>45987</v>
      </c>
      <c r="D762" s="5">
        <v>45989</v>
      </c>
      <c r="E762" s="4" t="str">
        <f t="shared" si="61"/>
        <v>3 Tage</v>
      </c>
      <c r="F762" s="6">
        <v>670</v>
      </c>
      <c r="G762" s="4" t="str">
        <f t="shared" si="62"/>
        <v>Führungsfortbildung</v>
      </c>
      <c r="H762" s="4" t="s">
        <v>11</v>
      </c>
    </row>
    <row r="763" spans="1:8" x14ac:dyDescent="0.2">
      <c r="A763" s="4" t="str">
        <f>"08.310/014/2025"</f>
        <v>08.310/014/2025</v>
      </c>
      <c r="B763" s="4" t="str">
        <f t="shared" si="60"/>
        <v>Grundlagen des Personalwesens</v>
      </c>
      <c r="C763" s="5">
        <v>46006</v>
      </c>
      <c r="D763" s="5">
        <v>46008</v>
      </c>
      <c r="E763" s="4" t="str">
        <f t="shared" si="61"/>
        <v>3 Tage</v>
      </c>
      <c r="F763" s="6">
        <v>670</v>
      </c>
      <c r="G763" s="4" t="str">
        <f t="shared" si="62"/>
        <v>Führungsfortbildung</v>
      </c>
      <c r="H763" s="4" t="s">
        <v>11</v>
      </c>
    </row>
    <row r="764" spans="1:8" x14ac:dyDescent="0.2">
      <c r="A764" s="4" t="str">
        <f>"08.314/001/2025"</f>
        <v>08.314/001/2025</v>
      </c>
      <c r="B764" s="4" t="str">
        <f>"Personalaktenrecht und Personalaktenverwaltung"</f>
        <v>Personalaktenrecht und Personalaktenverwaltung</v>
      </c>
      <c r="C764" s="5">
        <v>45917</v>
      </c>
      <c r="D764" s="5">
        <v>45917</v>
      </c>
      <c r="E764" s="4" t="str">
        <f>"1 Tag"</f>
        <v>1 Tag</v>
      </c>
      <c r="F764" s="6">
        <v>190</v>
      </c>
      <c r="G764" s="4" t="str">
        <f t="shared" ref="G764:G772" si="63">"Fachbezogenes Seminar"</f>
        <v>Fachbezogenes Seminar</v>
      </c>
      <c r="H764" s="4" t="s">
        <v>11</v>
      </c>
    </row>
    <row r="765" spans="1:8" x14ac:dyDescent="0.2">
      <c r="A765" s="4" t="str">
        <f>"08.320/001/2025"</f>
        <v>08.320/001/2025</v>
      </c>
      <c r="B765" s="4" t="str">
        <f>"Reisekostenrecht - Einführung"</f>
        <v>Reisekostenrecht - Einführung</v>
      </c>
      <c r="C765" s="5">
        <v>45854</v>
      </c>
      <c r="D765" s="5">
        <v>45856</v>
      </c>
      <c r="E765" s="4" t="str">
        <f>"3 Tage"</f>
        <v>3 Tage</v>
      </c>
      <c r="F765" s="6">
        <v>720</v>
      </c>
      <c r="G765" s="4" t="str">
        <f t="shared" si="63"/>
        <v>Fachbezogenes Seminar</v>
      </c>
      <c r="H765" s="4" t="s">
        <v>11</v>
      </c>
    </row>
    <row r="766" spans="1:8" x14ac:dyDescent="0.2">
      <c r="A766" s="4" t="str">
        <f>"08.320/002/2025"</f>
        <v>08.320/002/2025</v>
      </c>
      <c r="B766" s="4" t="str">
        <f>"Reisekostenrecht - Einführung"</f>
        <v>Reisekostenrecht - Einführung</v>
      </c>
      <c r="C766" s="5">
        <v>45987</v>
      </c>
      <c r="D766" s="5">
        <v>45989</v>
      </c>
      <c r="E766" s="4" t="str">
        <f>"3 Tage"</f>
        <v>3 Tage</v>
      </c>
      <c r="F766" s="6">
        <v>720</v>
      </c>
      <c r="G766" s="4" t="str">
        <f t="shared" si="63"/>
        <v>Fachbezogenes Seminar</v>
      </c>
      <c r="H766" s="4" t="s">
        <v>11</v>
      </c>
    </row>
    <row r="767" spans="1:8" x14ac:dyDescent="0.2">
      <c r="A767" s="4" t="str">
        <f>"08.322/001/2025"</f>
        <v>08.322/001/2025</v>
      </c>
      <c r="B767" s="4" t="str">
        <f>"Reisekostenrecht - Workshop"</f>
        <v>Reisekostenrecht - Workshop</v>
      </c>
      <c r="C767" s="5">
        <v>45673</v>
      </c>
      <c r="D767" s="5">
        <v>45674</v>
      </c>
      <c r="E767" s="4" t="str">
        <f>"2 Tage"</f>
        <v>2 Tage</v>
      </c>
      <c r="F767" s="6">
        <v>430</v>
      </c>
      <c r="G767" s="4" t="str">
        <f t="shared" si="63"/>
        <v>Fachbezogenes Seminar</v>
      </c>
      <c r="H767" s="4" t="s">
        <v>11</v>
      </c>
    </row>
    <row r="768" spans="1:8" x14ac:dyDescent="0.2">
      <c r="A768" s="4" t="str">
        <f>"08.322/002/2025"</f>
        <v>08.322/002/2025</v>
      </c>
      <c r="B768" s="4" t="str">
        <f>"Reisekostenrecht - Workshop"</f>
        <v>Reisekostenrecht - Workshop</v>
      </c>
      <c r="C768" s="5">
        <v>45904</v>
      </c>
      <c r="D768" s="5">
        <v>45905</v>
      </c>
      <c r="E768" s="4" t="str">
        <f>"2 Tage"</f>
        <v>2 Tage</v>
      </c>
      <c r="F768" s="6">
        <v>430</v>
      </c>
      <c r="G768" s="4" t="str">
        <f t="shared" si="63"/>
        <v>Fachbezogenes Seminar</v>
      </c>
      <c r="H768" s="4" t="s">
        <v>11</v>
      </c>
    </row>
    <row r="769" spans="1:8" x14ac:dyDescent="0.2">
      <c r="A769" s="4" t="str">
        <f>"08.322/003/2025"</f>
        <v>08.322/003/2025</v>
      </c>
      <c r="B769" s="4" t="str">
        <f>"Reisekostenrecht - Workshop"</f>
        <v>Reisekostenrecht - Workshop</v>
      </c>
      <c r="C769" s="5">
        <v>45994</v>
      </c>
      <c r="D769" s="5">
        <v>45995</v>
      </c>
      <c r="E769" s="4" t="str">
        <f>"2 Tage"</f>
        <v>2 Tage</v>
      </c>
      <c r="F769" s="6">
        <v>430</v>
      </c>
      <c r="G769" s="4" t="str">
        <f t="shared" si="63"/>
        <v>Fachbezogenes Seminar</v>
      </c>
      <c r="H769" s="4" t="s">
        <v>11</v>
      </c>
    </row>
    <row r="770" spans="1:8" x14ac:dyDescent="0.2">
      <c r="A770" s="4" t="str">
        <f>"08.324/001/2025"</f>
        <v>08.324/001/2025</v>
      </c>
      <c r="B770" s="4" t="str">
        <f>"Trennungsentschädigungsrecht - Einführung"</f>
        <v>Trennungsentschädigungsrecht - Einführung</v>
      </c>
      <c r="C770" s="5">
        <v>45679</v>
      </c>
      <c r="D770" s="5">
        <v>45681</v>
      </c>
      <c r="E770" s="4" t="str">
        <f>"3 Tage"</f>
        <v>3 Tage</v>
      </c>
      <c r="F770" s="6">
        <v>670</v>
      </c>
      <c r="G770" s="4" t="str">
        <f t="shared" si="63"/>
        <v>Fachbezogenes Seminar</v>
      </c>
      <c r="H770" s="4" t="s">
        <v>11</v>
      </c>
    </row>
    <row r="771" spans="1:8" x14ac:dyDescent="0.2">
      <c r="A771" s="4" t="str">
        <f>"08.324/002/2025"</f>
        <v>08.324/002/2025</v>
      </c>
      <c r="B771" s="4" t="str">
        <f>"Trennungsentschädigungsrecht - Einführung"</f>
        <v>Trennungsentschädigungsrecht - Einführung</v>
      </c>
      <c r="C771" s="5">
        <v>45783</v>
      </c>
      <c r="D771" s="5">
        <v>45785</v>
      </c>
      <c r="E771" s="4" t="str">
        <f>"3 Tage"</f>
        <v>3 Tage</v>
      </c>
      <c r="F771" s="6">
        <v>670</v>
      </c>
      <c r="G771" s="4" t="str">
        <f t="shared" si="63"/>
        <v>Fachbezogenes Seminar</v>
      </c>
      <c r="H771" s="4" t="s">
        <v>11</v>
      </c>
    </row>
    <row r="772" spans="1:8" x14ac:dyDescent="0.2">
      <c r="A772" s="4" t="str">
        <f>"08.324/003/2025"</f>
        <v>08.324/003/2025</v>
      </c>
      <c r="B772" s="4" t="str">
        <f>"Trennungsentschädigungsrecht - Einführung"</f>
        <v>Trennungsentschädigungsrecht - Einführung</v>
      </c>
      <c r="C772" s="5">
        <v>45944</v>
      </c>
      <c r="D772" s="5">
        <v>45946</v>
      </c>
      <c r="E772" s="4" t="str">
        <f>"3 Tage"</f>
        <v>3 Tage</v>
      </c>
      <c r="F772" s="6">
        <v>670</v>
      </c>
      <c r="G772" s="4" t="str">
        <f t="shared" si="63"/>
        <v>Fachbezogenes Seminar</v>
      </c>
      <c r="H772" s="4" t="s">
        <v>11</v>
      </c>
    </row>
    <row r="773" spans="1:8" x14ac:dyDescent="0.2">
      <c r="A773" s="4" t="str">
        <f>"08.327/001/2025"</f>
        <v>08.327/001/2025</v>
      </c>
      <c r="B773" s="4" t="str">
        <f>"Workshop zum Thema Reisekosten/Trennungsentschädigung für Auszubildende und Anwärter/Referendare"</f>
        <v>Workshop zum Thema Reisekosten/Trennungsentschädigung für Auszubildende und Anwärter/Referendare</v>
      </c>
      <c r="C773" s="5">
        <v>45764</v>
      </c>
      <c r="D773" s="5">
        <v>45764</v>
      </c>
      <c r="E773" s="4" t="str">
        <f>"1 Tag"</f>
        <v>1 Tag</v>
      </c>
      <c r="F773" s="6">
        <v>190</v>
      </c>
      <c r="G773" s="4" t="str">
        <f>"Fachübergreifendes Seminar"</f>
        <v>Fachübergreifendes Seminar</v>
      </c>
      <c r="H773" s="4" t="s">
        <v>11</v>
      </c>
    </row>
    <row r="774" spans="1:8" x14ac:dyDescent="0.2">
      <c r="A774" s="4" t="str">
        <f>"08.330/001/2025"</f>
        <v>08.330/001/2025</v>
      </c>
      <c r="B774" s="4" t="str">
        <f t="shared" ref="B774:B779" si="64">"LPVG NRW - Einführung"</f>
        <v>LPVG NRW - Einführung</v>
      </c>
      <c r="C774" s="5">
        <v>45670</v>
      </c>
      <c r="D774" s="5">
        <v>45672</v>
      </c>
      <c r="E774" s="4" t="str">
        <f t="shared" ref="E774:E779" si="65">"3 Tage"</f>
        <v>3 Tage</v>
      </c>
      <c r="F774" s="6">
        <v>670</v>
      </c>
      <c r="G774" s="4" t="str">
        <f t="shared" ref="G774:G796" si="66">"Fachbezogenes Seminar"</f>
        <v>Fachbezogenes Seminar</v>
      </c>
      <c r="H774" s="4" t="s">
        <v>11</v>
      </c>
    </row>
    <row r="775" spans="1:8" x14ac:dyDescent="0.2">
      <c r="A775" s="4" t="str">
        <f>"08.330/002/2025"</f>
        <v>08.330/002/2025</v>
      </c>
      <c r="B775" s="4" t="str">
        <f t="shared" si="64"/>
        <v>LPVG NRW - Einführung</v>
      </c>
      <c r="C775" s="5">
        <v>45700</v>
      </c>
      <c r="D775" s="5">
        <v>45702</v>
      </c>
      <c r="E775" s="4" t="str">
        <f t="shared" si="65"/>
        <v>3 Tage</v>
      </c>
      <c r="F775" s="6">
        <v>670</v>
      </c>
      <c r="G775" s="4" t="str">
        <f t="shared" si="66"/>
        <v>Fachbezogenes Seminar</v>
      </c>
      <c r="H775" s="4" t="s">
        <v>11</v>
      </c>
    </row>
    <row r="776" spans="1:8" x14ac:dyDescent="0.2">
      <c r="A776" s="4" t="str">
        <f>"08.330/003/2025"</f>
        <v>08.330/003/2025</v>
      </c>
      <c r="B776" s="4" t="str">
        <f t="shared" si="64"/>
        <v>LPVG NRW - Einführung</v>
      </c>
      <c r="C776" s="5">
        <v>45734</v>
      </c>
      <c r="D776" s="5">
        <v>45736</v>
      </c>
      <c r="E776" s="4" t="str">
        <f t="shared" si="65"/>
        <v>3 Tage</v>
      </c>
      <c r="F776" s="6">
        <v>670</v>
      </c>
      <c r="G776" s="4" t="str">
        <f t="shared" si="66"/>
        <v>Fachbezogenes Seminar</v>
      </c>
      <c r="H776" s="4" t="s">
        <v>11</v>
      </c>
    </row>
    <row r="777" spans="1:8" x14ac:dyDescent="0.2">
      <c r="A777" s="4" t="str">
        <f>"08.330/004/2025"</f>
        <v>08.330/004/2025</v>
      </c>
      <c r="B777" s="4" t="str">
        <f t="shared" si="64"/>
        <v>LPVG NRW - Einführung</v>
      </c>
      <c r="C777" s="5">
        <v>45803</v>
      </c>
      <c r="D777" s="5">
        <v>45805</v>
      </c>
      <c r="E777" s="4" t="str">
        <f t="shared" si="65"/>
        <v>3 Tage</v>
      </c>
      <c r="F777" s="6">
        <v>670</v>
      </c>
      <c r="G777" s="4" t="str">
        <f t="shared" si="66"/>
        <v>Fachbezogenes Seminar</v>
      </c>
      <c r="H777" s="4" t="s">
        <v>11</v>
      </c>
    </row>
    <row r="778" spans="1:8" x14ac:dyDescent="0.2">
      <c r="A778" s="4" t="str">
        <f>"08.330/005/2025"</f>
        <v>08.330/005/2025</v>
      </c>
      <c r="B778" s="4" t="str">
        <f t="shared" si="64"/>
        <v>LPVG NRW - Einführung</v>
      </c>
      <c r="C778" s="5">
        <v>45936</v>
      </c>
      <c r="D778" s="5">
        <v>45938</v>
      </c>
      <c r="E778" s="4" t="str">
        <f t="shared" si="65"/>
        <v>3 Tage</v>
      </c>
      <c r="F778" s="6">
        <v>670</v>
      </c>
      <c r="G778" s="4" t="str">
        <f t="shared" si="66"/>
        <v>Fachbezogenes Seminar</v>
      </c>
      <c r="H778" s="4" t="s">
        <v>11</v>
      </c>
    </row>
    <row r="779" spans="1:8" x14ac:dyDescent="0.2">
      <c r="A779" s="4" t="str">
        <f>"08.330/006/2025"</f>
        <v>08.330/006/2025</v>
      </c>
      <c r="B779" s="4" t="str">
        <f t="shared" si="64"/>
        <v>LPVG NRW - Einführung</v>
      </c>
      <c r="C779" s="5">
        <v>45964</v>
      </c>
      <c r="D779" s="5">
        <v>45966</v>
      </c>
      <c r="E779" s="4" t="str">
        <f t="shared" si="65"/>
        <v>3 Tage</v>
      </c>
      <c r="F779" s="6">
        <v>670</v>
      </c>
      <c r="G779" s="4" t="str">
        <f t="shared" si="66"/>
        <v>Fachbezogenes Seminar</v>
      </c>
      <c r="H779" s="4" t="s">
        <v>11</v>
      </c>
    </row>
    <row r="780" spans="1:8" x14ac:dyDescent="0.2">
      <c r="A780" s="4" t="str">
        <f>"08.332/001/2025"</f>
        <v>08.332/001/2025</v>
      </c>
      <c r="B780" s="4" t="str">
        <f>"LPVG NRW Spezial - Mitbestimmung, Mitwirkung, Anhörung"</f>
        <v>LPVG NRW Spezial - Mitbestimmung, Mitwirkung, Anhörung</v>
      </c>
      <c r="C780" s="5">
        <v>45785</v>
      </c>
      <c r="D780" s="5">
        <v>45786</v>
      </c>
      <c r="E780" s="4" t="str">
        <f>"2 Tage"</f>
        <v>2 Tage</v>
      </c>
      <c r="F780" s="6">
        <v>430</v>
      </c>
      <c r="G780" s="4" t="str">
        <f t="shared" si="66"/>
        <v>Fachbezogenes Seminar</v>
      </c>
      <c r="H780" s="4" t="s">
        <v>11</v>
      </c>
    </row>
    <row r="781" spans="1:8" x14ac:dyDescent="0.2">
      <c r="A781" s="4" t="str">
        <f>"08.332/002/2025"</f>
        <v>08.332/002/2025</v>
      </c>
      <c r="B781" s="4" t="str">
        <f>"LPVG NRW Spezial - Mitbestimmung, Mitwirkung, Anhörung"</f>
        <v>LPVG NRW Spezial - Mitbestimmung, Mitwirkung, Anhörung</v>
      </c>
      <c r="C781" s="5">
        <v>45894</v>
      </c>
      <c r="D781" s="5">
        <v>45895</v>
      </c>
      <c r="E781" s="4" t="str">
        <f>"2 Tage"</f>
        <v>2 Tage</v>
      </c>
      <c r="F781" s="6">
        <v>430</v>
      </c>
      <c r="G781" s="4" t="str">
        <f t="shared" si="66"/>
        <v>Fachbezogenes Seminar</v>
      </c>
      <c r="H781" s="4" t="s">
        <v>11</v>
      </c>
    </row>
    <row r="782" spans="1:8" x14ac:dyDescent="0.2">
      <c r="A782" s="4" t="str">
        <f>"08.334/001/2025"</f>
        <v>08.334/001/2025</v>
      </c>
      <c r="B782" s="4" t="str">
        <f>"LPVG NRW - Workshop"</f>
        <v>LPVG NRW - Workshop</v>
      </c>
      <c r="C782" s="5">
        <v>45666</v>
      </c>
      <c r="D782" s="5">
        <v>45667</v>
      </c>
      <c r="E782" s="4" t="str">
        <f>"2 Tage"</f>
        <v>2 Tage</v>
      </c>
      <c r="F782" s="6">
        <v>430</v>
      </c>
      <c r="G782" s="4" t="str">
        <f t="shared" si="66"/>
        <v>Fachbezogenes Seminar</v>
      </c>
      <c r="H782" s="4" t="s">
        <v>11</v>
      </c>
    </row>
    <row r="783" spans="1:8" x14ac:dyDescent="0.2">
      <c r="A783" s="4" t="str">
        <f>"08.334/002/2025"</f>
        <v>08.334/002/2025</v>
      </c>
      <c r="B783" s="4" t="str">
        <f>"LPVG NRW - Workshop"</f>
        <v>LPVG NRW - Workshop</v>
      </c>
      <c r="C783" s="5">
        <v>45999</v>
      </c>
      <c r="D783" s="5">
        <v>46000</v>
      </c>
      <c r="E783" s="4" t="str">
        <f>"2 Tage"</f>
        <v>2 Tage</v>
      </c>
      <c r="F783" s="6">
        <v>430</v>
      </c>
      <c r="G783" s="4" t="str">
        <f t="shared" si="66"/>
        <v>Fachbezogenes Seminar</v>
      </c>
      <c r="H783" s="4" t="s">
        <v>11</v>
      </c>
    </row>
    <row r="784" spans="1:8" x14ac:dyDescent="0.2">
      <c r="A784" s="4" t="str">
        <f>"08.340/001/2025"</f>
        <v>08.340/001/2025</v>
      </c>
      <c r="B784" s="4" t="str">
        <f>"Aufgaben der Vertrauenspersonen und Beauftragten des Arbeitgebers für schwerbehinderte Beschäftigte in der Landesverwaltung - Grundlagen"</f>
        <v>Aufgaben der Vertrauenspersonen und Beauftragten des Arbeitgebers für schwerbehinderte Beschäftigte in der Landesverwaltung - Grundlagen</v>
      </c>
      <c r="C784" s="5">
        <v>45742</v>
      </c>
      <c r="D784" s="5">
        <v>45744</v>
      </c>
      <c r="E784" s="4" t="str">
        <f>"3 Tage"</f>
        <v>3 Tage</v>
      </c>
      <c r="F784" s="6">
        <v>770</v>
      </c>
      <c r="G784" s="4" t="str">
        <f t="shared" si="66"/>
        <v>Fachbezogenes Seminar</v>
      </c>
      <c r="H784" s="4" t="s">
        <v>11</v>
      </c>
    </row>
    <row r="785" spans="1:8" x14ac:dyDescent="0.2">
      <c r="A785" s="4" t="str">
        <f>"08.344/001/2025"</f>
        <v>08.344/001/2025</v>
      </c>
      <c r="B785" s="4" t="str">
        <f>"Aktuelle Fragen zum Schwerbehindertenrecht"</f>
        <v>Aktuelle Fragen zum Schwerbehindertenrecht</v>
      </c>
      <c r="C785" s="5">
        <v>45782</v>
      </c>
      <c r="D785" s="5">
        <v>45784</v>
      </c>
      <c r="E785" s="4" t="str">
        <f>"3 Tage"</f>
        <v>3 Tage</v>
      </c>
      <c r="F785" s="6">
        <v>980</v>
      </c>
      <c r="G785" s="4" t="str">
        <f t="shared" si="66"/>
        <v>Fachbezogenes Seminar</v>
      </c>
      <c r="H785" s="4" t="s">
        <v>11</v>
      </c>
    </row>
    <row r="786" spans="1:8" x14ac:dyDescent="0.2">
      <c r="A786" s="4" t="str">
        <f>"08.346/001/2025"</f>
        <v>08.346/001/2025</v>
      </c>
      <c r="B786" s="4" t="str">
        <f>"Fallberatung und Supervision - Vertrauenspersonen für schwerbehinderte Beschäftigte"</f>
        <v>Fallberatung und Supervision - Vertrauenspersonen für schwerbehinderte Beschäftigte</v>
      </c>
      <c r="C786" s="5">
        <v>45971</v>
      </c>
      <c r="D786" s="5">
        <v>45973</v>
      </c>
      <c r="E786" s="4" t="str">
        <f>"3 Tage"</f>
        <v>3 Tage</v>
      </c>
      <c r="F786" s="6">
        <v>630</v>
      </c>
      <c r="G786" s="4" t="str">
        <f t="shared" si="66"/>
        <v>Fachbezogenes Seminar</v>
      </c>
      <c r="H786" s="4" t="s">
        <v>11</v>
      </c>
    </row>
    <row r="787" spans="1:8" x14ac:dyDescent="0.2">
      <c r="A787" s="4" t="str">
        <f>"08.348/001/2025"</f>
        <v>08.348/001/2025</v>
      </c>
      <c r="B787" s="4" t="str">
        <f>"Rechte und Pflichten schwerbehinderter Beschäftigter in der Landesverwaltung"</f>
        <v>Rechte und Pflichten schwerbehinderter Beschäftigter in der Landesverwaltung</v>
      </c>
      <c r="C787" s="5">
        <v>46001</v>
      </c>
      <c r="D787" s="5">
        <v>46003</v>
      </c>
      <c r="E787" s="4" t="str">
        <f>"3 Tage"</f>
        <v>3 Tage</v>
      </c>
      <c r="F787" s="6">
        <v>670</v>
      </c>
      <c r="G787" s="4" t="str">
        <f t="shared" si="66"/>
        <v>Fachbezogenes Seminar</v>
      </c>
      <c r="H787" s="4" t="s">
        <v>11</v>
      </c>
    </row>
    <row r="788" spans="1:8" x14ac:dyDescent="0.2">
      <c r="A788" s="4" t="str">
        <f>"08.350/001/2025"</f>
        <v>08.350/001/2025</v>
      </c>
      <c r="B788" s="4" t="str">
        <f>"Datenschutzrechtliche Aspekte in der Schwerbehindertenvertretung (SBV)"</f>
        <v>Datenschutzrechtliche Aspekte in der Schwerbehindertenvertretung (SBV)</v>
      </c>
      <c r="C788" s="5">
        <v>45870</v>
      </c>
      <c r="D788" s="5">
        <v>45870</v>
      </c>
      <c r="E788" s="4" t="str">
        <f>"1 Tag"</f>
        <v>1 Tag</v>
      </c>
      <c r="F788" s="6">
        <v>190</v>
      </c>
      <c r="G788" s="4" t="str">
        <f t="shared" si="66"/>
        <v>Fachbezogenes Seminar</v>
      </c>
      <c r="H788" s="4" t="s">
        <v>11</v>
      </c>
    </row>
    <row r="789" spans="1:8" x14ac:dyDescent="0.2">
      <c r="A789" s="4" t="str">
        <f>"08.352/001/2025"</f>
        <v>08.352/001/2025</v>
      </c>
      <c r="B789" s="4" t="str">
        <f>"Workshop: Schwerbehindertenrecht"</f>
        <v>Workshop: Schwerbehindertenrecht</v>
      </c>
      <c r="C789" s="5">
        <v>45838</v>
      </c>
      <c r="D789" s="5">
        <v>45838</v>
      </c>
      <c r="E789" s="4" t="str">
        <f>"1 Tag"</f>
        <v>1 Tag</v>
      </c>
      <c r="F789" s="6">
        <v>190</v>
      </c>
      <c r="G789" s="4" t="str">
        <f t="shared" si="66"/>
        <v>Fachbezogenes Seminar</v>
      </c>
      <c r="H789" s="4" t="s">
        <v>11</v>
      </c>
    </row>
    <row r="790" spans="1:8" x14ac:dyDescent="0.2">
      <c r="A790" s="4" t="str">
        <f>"08.410/001/2025"</f>
        <v>08.410/001/2025</v>
      </c>
      <c r="B790" s="4" t="str">
        <f>"Haushaltsrecht - Einführung - Kameralistik"</f>
        <v>Haushaltsrecht - Einführung - Kameralistik</v>
      </c>
      <c r="C790" s="5">
        <v>45672</v>
      </c>
      <c r="D790" s="5">
        <v>45674</v>
      </c>
      <c r="E790" s="4" t="str">
        <f>"3 Tage"</f>
        <v>3 Tage</v>
      </c>
      <c r="F790" s="6">
        <v>670</v>
      </c>
      <c r="G790" s="4" t="str">
        <f t="shared" si="66"/>
        <v>Fachbezogenes Seminar</v>
      </c>
      <c r="H790" s="4" t="s">
        <v>11</v>
      </c>
    </row>
    <row r="791" spans="1:8" x14ac:dyDescent="0.2">
      <c r="A791" s="4" t="str">
        <f>"08.410/002/2025"</f>
        <v>08.410/002/2025</v>
      </c>
      <c r="B791" s="4" t="str">
        <f>"Haushaltsrecht - Einführung - Kameralistik"</f>
        <v>Haushaltsrecht - Einführung - Kameralistik</v>
      </c>
      <c r="C791" s="5">
        <v>45740</v>
      </c>
      <c r="D791" s="5">
        <v>45742</v>
      </c>
      <c r="E791" s="4" t="str">
        <f>"3 Tage"</f>
        <v>3 Tage</v>
      </c>
      <c r="F791" s="6">
        <v>670</v>
      </c>
      <c r="G791" s="4" t="str">
        <f t="shared" si="66"/>
        <v>Fachbezogenes Seminar</v>
      </c>
      <c r="H791" s="4" t="s">
        <v>11</v>
      </c>
    </row>
    <row r="792" spans="1:8" x14ac:dyDescent="0.2">
      <c r="A792" s="4" t="str">
        <f>"08.410/003/2025"</f>
        <v>08.410/003/2025</v>
      </c>
      <c r="B792" s="4" t="str">
        <f>"Haushaltsrecht - Einführung - Kameralistik"</f>
        <v>Haushaltsrecht - Einführung - Kameralistik</v>
      </c>
      <c r="C792" s="5">
        <v>45845</v>
      </c>
      <c r="D792" s="5">
        <v>45847</v>
      </c>
      <c r="E792" s="4" t="str">
        <f>"3 Tage"</f>
        <v>3 Tage</v>
      </c>
      <c r="F792" s="6">
        <v>670</v>
      </c>
      <c r="G792" s="4" t="str">
        <f t="shared" si="66"/>
        <v>Fachbezogenes Seminar</v>
      </c>
      <c r="H792" s="4" t="s">
        <v>11</v>
      </c>
    </row>
    <row r="793" spans="1:8" x14ac:dyDescent="0.2">
      <c r="A793" s="4" t="str">
        <f>"08.410/004/2025"</f>
        <v>08.410/004/2025</v>
      </c>
      <c r="B793" s="4" t="str">
        <f>"Haushaltsrecht - Einführung - Kameralistik"</f>
        <v>Haushaltsrecht - Einführung - Kameralistik</v>
      </c>
      <c r="C793" s="5">
        <v>45999</v>
      </c>
      <c r="D793" s="5">
        <v>46001</v>
      </c>
      <c r="E793" s="4" t="str">
        <f>"3 Tage"</f>
        <v>3 Tage</v>
      </c>
      <c r="F793" s="6">
        <v>670</v>
      </c>
      <c r="G793" s="4" t="str">
        <f t="shared" si="66"/>
        <v>Fachbezogenes Seminar</v>
      </c>
      <c r="H793" s="4" t="s">
        <v>11</v>
      </c>
    </row>
    <row r="794" spans="1:8" x14ac:dyDescent="0.2">
      <c r="A794" s="4" t="str">
        <f>"08.411/001/2025"</f>
        <v>08.411/001/2025</v>
      </c>
      <c r="B794" s="4" t="str">
        <f>"Stellenplanbewirtschaftung"</f>
        <v>Stellenplanbewirtschaftung</v>
      </c>
      <c r="C794" s="5">
        <v>45947</v>
      </c>
      <c r="D794" s="5">
        <v>45947</v>
      </c>
      <c r="E794" s="4" t="str">
        <f>"1 Tag"</f>
        <v>1 Tag</v>
      </c>
      <c r="F794" s="6">
        <v>190</v>
      </c>
      <c r="G794" s="4" t="str">
        <f t="shared" si="66"/>
        <v>Fachbezogenes Seminar</v>
      </c>
      <c r="H794" s="4" t="s">
        <v>11</v>
      </c>
    </row>
    <row r="795" spans="1:8" x14ac:dyDescent="0.2">
      <c r="A795" s="4" t="str">
        <f>"08.414/001/2025"</f>
        <v>08.414/001/2025</v>
      </c>
      <c r="B795" s="4" t="str">
        <f>"Haushaltsrechtliche Grundlagen in Phase II von EPOS.NRW"</f>
        <v>Haushaltsrechtliche Grundlagen in Phase II von EPOS.NRW</v>
      </c>
      <c r="C795" s="5">
        <v>45824</v>
      </c>
      <c r="D795" s="5">
        <v>45826</v>
      </c>
      <c r="E795" s="4" t="str">
        <f t="shared" ref="E795:E810" si="67">"3 Tage"</f>
        <v>3 Tage</v>
      </c>
      <c r="F795" s="6">
        <v>670</v>
      </c>
      <c r="G795" s="4" t="str">
        <f t="shared" si="66"/>
        <v>Fachbezogenes Seminar</v>
      </c>
      <c r="H795" s="4" t="s">
        <v>11</v>
      </c>
    </row>
    <row r="796" spans="1:8" x14ac:dyDescent="0.2">
      <c r="A796" s="4" t="str">
        <f>"08.414/002/2025"</f>
        <v>08.414/002/2025</v>
      </c>
      <c r="B796" s="4" t="str">
        <f>"Haushaltsrechtliche Grundlagen in Phase II von EPOS.NRW"</f>
        <v>Haushaltsrechtliche Grundlagen in Phase II von EPOS.NRW</v>
      </c>
      <c r="C796" s="5">
        <v>45861</v>
      </c>
      <c r="D796" s="5">
        <v>45863</v>
      </c>
      <c r="E796" s="4" t="str">
        <f t="shared" si="67"/>
        <v>3 Tage</v>
      </c>
      <c r="F796" s="6">
        <v>670</v>
      </c>
      <c r="G796" s="4" t="str">
        <f t="shared" si="66"/>
        <v>Fachbezogenes Seminar</v>
      </c>
      <c r="H796" s="4" t="s">
        <v>11</v>
      </c>
    </row>
    <row r="797" spans="1:8" x14ac:dyDescent="0.2">
      <c r="A797" s="4" t="str">
        <f>"08.416/001/2025"</f>
        <v>08.416/001/2025</v>
      </c>
      <c r="B797" s="4" t="str">
        <f t="shared" ref="B797:B808" si="68">"Der Wandel des Haushaltsrechts - von der Kameralistik zu EPOS.NRW"</f>
        <v>Der Wandel des Haushaltsrechts - von der Kameralistik zu EPOS.NRW</v>
      </c>
      <c r="C797" s="5">
        <v>45677</v>
      </c>
      <c r="D797" s="5">
        <v>45679</v>
      </c>
      <c r="E797" s="4" t="str">
        <f t="shared" si="67"/>
        <v>3 Tage</v>
      </c>
      <c r="F797" s="6">
        <v>670</v>
      </c>
      <c r="G797" s="4" t="str">
        <f t="shared" ref="G797:G808" si="69">"Führungsfortbildung"</f>
        <v>Führungsfortbildung</v>
      </c>
      <c r="H797" s="4" t="s">
        <v>11</v>
      </c>
    </row>
    <row r="798" spans="1:8" x14ac:dyDescent="0.2">
      <c r="A798" s="4" t="str">
        <f>"08.416/002/2025"</f>
        <v>08.416/002/2025</v>
      </c>
      <c r="B798" s="4" t="str">
        <f t="shared" si="68"/>
        <v>Der Wandel des Haushaltsrechts - von der Kameralistik zu EPOS.NRW</v>
      </c>
      <c r="C798" s="5">
        <v>45684</v>
      </c>
      <c r="D798" s="5">
        <v>45686</v>
      </c>
      <c r="E798" s="4" t="str">
        <f t="shared" si="67"/>
        <v>3 Tage</v>
      </c>
      <c r="F798" s="6">
        <v>670</v>
      </c>
      <c r="G798" s="4" t="str">
        <f t="shared" si="69"/>
        <v>Führungsfortbildung</v>
      </c>
      <c r="H798" s="4" t="s">
        <v>11</v>
      </c>
    </row>
    <row r="799" spans="1:8" x14ac:dyDescent="0.2">
      <c r="A799" s="4" t="str">
        <f>"08.416/003/2025"</f>
        <v>08.416/003/2025</v>
      </c>
      <c r="B799" s="4" t="str">
        <f t="shared" si="68"/>
        <v>Der Wandel des Haushaltsrechts - von der Kameralistik zu EPOS.NRW</v>
      </c>
      <c r="C799" s="5">
        <v>45691</v>
      </c>
      <c r="D799" s="5">
        <v>45693</v>
      </c>
      <c r="E799" s="4" t="str">
        <f t="shared" si="67"/>
        <v>3 Tage</v>
      </c>
      <c r="F799" s="6">
        <v>670</v>
      </c>
      <c r="G799" s="4" t="str">
        <f t="shared" si="69"/>
        <v>Führungsfortbildung</v>
      </c>
      <c r="H799" s="4" t="s">
        <v>11</v>
      </c>
    </row>
    <row r="800" spans="1:8" x14ac:dyDescent="0.2">
      <c r="A800" s="4" t="str">
        <f>"08.416/004/2025"</f>
        <v>08.416/004/2025</v>
      </c>
      <c r="B800" s="4" t="str">
        <f t="shared" si="68"/>
        <v>Der Wandel des Haushaltsrechts - von der Kameralistik zu EPOS.NRW</v>
      </c>
      <c r="C800" s="5">
        <v>45698</v>
      </c>
      <c r="D800" s="5">
        <v>45700</v>
      </c>
      <c r="E800" s="4" t="str">
        <f t="shared" si="67"/>
        <v>3 Tage</v>
      </c>
      <c r="F800" s="6">
        <v>670</v>
      </c>
      <c r="G800" s="4" t="str">
        <f t="shared" si="69"/>
        <v>Führungsfortbildung</v>
      </c>
      <c r="H800" s="4" t="s">
        <v>11</v>
      </c>
    </row>
    <row r="801" spans="1:8" x14ac:dyDescent="0.2">
      <c r="A801" s="4" t="str">
        <f>"08.416/005/2025"</f>
        <v>08.416/005/2025</v>
      </c>
      <c r="B801" s="4" t="str">
        <f t="shared" si="68"/>
        <v>Der Wandel des Haushaltsrechts - von der Kameralistik zu EPOS.NRW</v>
      </c>
      <c r="C801" s="5">
        <v>45706</v>
      </c>
      <c r="D801" s="5">
        <v>45708</v>
      </c>
      <c r="E801" s="4" t="str">
        <f t="shared" si="67"/>
        <v>3 Tage</v>
      </c>
      <c r="F801" s="6">
        <v>670</v>
      </c>
      <c r="G801" s="4" t="str">
        <f t="shared" si="69"/>
        <v>Führungsfortbildung</v>
      </c>
      <c r="H801" s="4" t="s">
        <v>11</v>
      </c>
    </row>
    <row r="802" spans="1:8" x14ac:dyDescent="0.2">
      <c r="A802" s="4" t="str">
        <f>"08.416/006/2025"</f>
        <v>08.416/006/2025</v>
      </c>
      <c r="B802" s="4" t="str">
        <f t="shared" si="68"/>
        <v>Der Wandel des Haushaltsrechts - von der Kameralistik zu EPOS.NRW</v>
      </c>
      <c r="C802" s="5">
        <v>45733</v>
      </c>
      <c r="D802" s="5">
        <v>45735</v>
      </c>
      <c r="E802" s="4" t="str">
        <f t="shared" si="67"/>
        <v>3 Tage</v>
      </c>
      <c r="F802" s="6">
        <v>670</v>
      </c>
      <c r="G802" s="4" t="str">
        <f t="shared" si="69"/>
        <v>Führungsfortbildung</v>
      </c>
      <c r="H802" s="4" t="s">
        <v>11</v>
      </c>
    </row>
    <row r="803" spans="1:8" x14ac:dyDescent="0.2">
      <c r="A803" s="4" t="str">
        <f>"08.416/007/2025"</f>
        <v>08.416/007/2025</v>
      </c>
      <c r="B803" s="4" t="str">
        <f t="shared" si="68"/>
        <v>Der Wandel des Haushaltsrechts - von der Kameralistik zu EPOS.NRW</v>
      </c>
      <c r="C803" s="5">
        <v>45769</v>
      </c>
      <c r="D803" s="5">
        <v>45771</v>
      </c>
      <c r="E803" s="4" t="str">
        <f t="shared" si="67"/>
        <v>3 Tage</v>
      </c>
      <c r="F803" s="6">
        <v>670</v>
      </c>
      <c r="G803" s="4" t="str">
        <f t="shared" si="69"/>
        <v>Führungsfortbildung</v>
      </c>
      <c r="H803" s="4" t="s">
        <v>11</v>
      </c>
    </row>
    <row r="804" spans="1:8" x14ac:dyDescent="0.2">
      <c r="A804" s="4" t="str">
        <f>"08.416/008/2025"</f>
        <v>08.416/008/2025</v>
      </c>
      <c r="B804" s="4" t="str">
        <f t="shared" si="68"/>
        <v>Der Wandel des Haushaltsrechts - von der Kameralistik zu EPOS.NRW</v>
      </c>
      <c r="C804" s="5">
        <v>45831</v>
      </c>
      <c r="D804" s="5">
        <v>45833</v>
      </c>
      <c r="E804" s="4" t="str">
        <f t="shared" si="67"/>
        <v>3 Tage</v>
      </c>
      <c r="F804" s="6">
        <v>670</v>
      </c>
      <c r="G804" s="4" t="str">
        <f t="shared" si="69"/>
        <v>Führungsfortbildung</v>
      </c>
      <c r="H804" s="4" t="s">
        <v>11</v>
      </c>
    </row>
    <row r="805" spans="1:8" x14ac:dyDescent="0.2">
      <c r="A805" s="4" t="str">
        <f>"08.416/009/2025"</f>
        <v>08.416/009/2025</v>
      </c>
      <c r="B805" s="4" t="str">
        <f t="shared" si="68"/>
        <v>Der Wandel des Haushaltsrechts - von der Kameralistik zu EPOS.NRW</v>
      </c>
      <c r="C805" s="5">
        <v>45840</v>
      </c>
      <c r="D805" s="5">
        <v>45842</v>
      </c>
      <c r="E805" s="4" t="str">
        <f t="shared" si="67"/>
        <v>3 Tage</v>
      </c>
      <c r="F805" s="6">
        <v>670</v>
      </c>
      <c r="G805" s="4" t="str">
        <f t="shared" si="69"/>
        <v>Führungsfortbildung</v>
      </c>
      <c r="H805" s="4" t="s">
        <v>11</v>
      </c>
    </row>
    <row r="806" spans="1:8" x14ac:dyDescent="0.2">
      <c r="A806" s="4" t="str">
        <f>"08.416/010/2025"</f>
        <v>08.416/010/2025</v>
      </c>
      <c r="B806" s="4" t="str">
        <f t="shared" si="68"/>
        <v>Der Wandel des Haushaltsrechts - von der Kameralistik zu EPOS.NRW</v>
      </c>
      <c r="C806" s="5">
        <v>45861</v>
      </c>
      <c r="D806" s="5">
        <v>45863</v>
      </c>
      <c r="E806" s="4" t="str">
        <f t="shared" si="67"/>
        <v>3 Tage</v>
      </c>
      <c r="F806" s="6">
        <v>670</v>
      </c>
      <c r="G806" s="4" t="str">
        <f t="shared" si="69"/>
        <v>Führungsfortbildung</v>
      </c>
      <c r="H806" s="4" t="s">
        <v>11</v>
      </c>
    </row>
    <row r="807" spans="1:8" x14ac:dyDescent="0.2">
      <c r="A807" s="4" t="str">
        <f>"08.416/011/2025"</f>
        <v>08.416/011/2025</v>
      </c>
      <c r="B807" s="4" t="str">
        <f t="shared" si="68"/>
        <v>Der Wandel des Haushaltsrechts - von der Kameralistik zu EPOS.NRW</v>
      </c>
      <c r="C807" s="5">
        <v>45971</v>
      </c>
      <c r="D807" s="5">
        <v>45973</v>
      </c>
      <c r="E807" s="4" t="str">
        <f t="shared" si="67"/>
        <v>3 Tage</v>
      </c>
      <c r="F807" s="6">
        <v>670</v>
      </c>
      <c r="G807" s="4" t="str">
        <f t="shared" si="69"/>
        <v>Führungsfortbildung</v>
      </c>
      <c r="H807" s="4" t="s">
        <v>11</v>
      </c>
    </row>
    <row r="808" spans="1:8" x14ac:dyDescent="0.2">
      <c r="A808" s="4" t="str">
        <f>"08.416/012/2025"</f>
        <v>08.416/012/2025</v>
      </c>
      <c r="B808" s="4" t="str">
        <f t="shared" si="68"/>
        <v>Der Wandel des Haushaltsrechts - von der Kameralistik zu EPOS.NRW</v>
      </c>
      <c r="C808" s="5">
        <v>46006</v>
      </c>
      <c r="D808" s="5">
        <v>46008</v>
      </c>
      <c r="E808" s="4" t="str">
        <f t="shared" si="67"/>
        <v>3 Tage</v>
      </c>
      <c r="F808" s="6">
        <v>670</v>
      </c>
      <c r="G808" s="4" t="str">
        <f t="shared" si="69"/>
        <v>Führungsfortbildung</v>
      </c>
      <c r="H808" s="4" t="s">
        <v>11</v>
      </c>
    </row>
    <row r="809" spans="1:8" x14ac:dyDescent="0.2">
      <c r="A809" s="4" t="str">
        <f>"08.420/001/2025"</f>
        <v>08.420/001/2025</v>
      </c>
      <c r="B809" s="4" t="str">
        <f>"Haushalts- und Rechnungswesen EPOS.NRW - Grundlagen"</f>
        <v>Haushalts- und Rechnungswesen EPOS.NRW - Grundlagen</v>
      </c>
      <c r="C809" s="5">
        <v>45797</v>
      </c>
      <c r="D809" s="5">
        <v>45798</v>
      </c>
      <c r="E809" s="4" t="str">
        <f t="shared" si="67"/>
        <v>3 Tage</v>
      </c>
      <c r="F809" s="6">
        <v>670</v>
      </c>
      <c r="G809" s="4" t="str">
        <f>"Fachbezogenes Seminar"</f>
        <v>Fachbezogenes Seminar</v>
      </c>
      <c r="H809" s="4" t="s">
        <v>11</v>
      </c>
    </row>
    <row r="810" spans="1:8" x14ac:dyDescent="0.2">
      <c r="A810" s="4" t="str">
        <f>"08.420/002/2025"</f>
        <v>08.420/002/2025</v>
      </c>
      <c r="B810" s="4" t="str">
        <f>"Haushalts- und Rechnungswesen EPOS.NRW - Grundlagen"</f>
        <v>Haushalts- und Rechnungswesen EPOS.NRW - Grundlagen</v>
      </c>
      <c r="C810" s="5">
        <v>45973</v>
      </c>
      <c r="D810" s="5">
        <v>45974</v>
      </c>
      <c r="E810" s="4" t="str">
        <f t="shared" si="67"/>
        <v>3 Tage</v>
      </c>
      <c r="F810" s="6">
        <v>670</v>
      </c>
      <c r="G810" s="4" t="str">
        <f>"Fachbezogenes Seminar"</f>
        <v>Fachbezogenes Seminar</v>
      </c>
      <c r="H810" s="4" t="s">
        <v>11</v>
      </c>
    </row>
    <row r="811" spans="1:8" x14ac:dyDescent="0.2">
      <c r="A811" s="4" t="str">
        <f>"08.430/001/2025"</f>
        <v>08.430/001/2025</v>
      </c>
      <c r="B811" s="4" t="str">
        <f>"Öffentliche Betriebswirtschaftslehre - kompakt"</f>
        <v>Öffentliche Betriebswirtschaftslehre - kompakt</v>
      </c>
      <c r="C811" s="5">
        <v>45754</v>
      </c>
      <c r="D811" s="5">
        <v>45754</v>
      </c>
      <c r="E811" s="4" t="str">
        <f>"1 Tag"</f>
        <v>1 Tag</v>
      </c>
      <c r="F811" s="6">
        <v>190</v>
      </c>
      <c r="G811" s="4" t="str">
        <f>"Fachbezogenes Seminar"</f>
        <v>Fachbezogenes Seminar</v>
      </c>
      <c r="H811" s="4" t="s">
        <v>11</v>
      </c>
    </row>
    <row r="812" spans="1:8" x14ac:dyDescent="0.2">
      <c r="A812" s="4" t="str">
        <f>"08.432/001/2025"</f>
        <v>08.432/001/2025</v>
      </c>
      <c r="B812" s="4" t="str">
        <f>"Grundlagen der Investitions- und Wirtschaftlichkeitsrechnung"</f>
        <v>Grundlagen der Investitions- und Wirtschaftlichkeitsrechnung</v>
      </c>
      <c r="C812" s="5">
        <v>45706</v>
      </c>
      <c r="D812" s="5">
        <v>45708</v>
      </c>
      <c r="E812" s="4" t="str">
        <f>"3 Tage"</f>
        <v>3 Tage</v>
      </c>
      <c r="F812" s="6">
        <v>670</v>
      </c>
      <c r="G812" s="4" t="str">
        <f>"Fachübergreifendes Seminar"</f>
        <v>Fachübergreifendes Seminar</v>
      </c>
      <c r="H812" s="4" t="s">
        <v>11</v>
      </c>
    </row>
    <row r="813" spans="1:8" x14ac:dyDescent="0.2">
      <c r="A813" s="4" t="str">
        <f>"08.433/001/2025"</f>
        <v>08.433/001/2025</v>
      </c>
      <c r="B813" s="4" t="str">
        <f>"Investitions- und Wirtschaftlichkeitsrechnung - Vertiefungsworkshop"</f>
        <v>Investitions- und Wirtschaftlichkeitsrechnung - Vertiefungsworkshop</v>
      </c>
      <c r="C813" s="5">
        <v>45961</v>
      </c>
      <c r="D813" s="5">
        <v>45961</v>
      </c>
      <c r="E813" s="4" t="str">
        <f>"1 Tag"</f>
        <v>1 Tag</v>
      </c>
      <c r="F813" s="6">
        <v>290</v>
      </c>
      <c r="G813" s="4" t="str">
        <f>"Fachbezogenes Seminar"</f>
        <v>Fachbezogenes Seminar</v>
      </c>
      <c r="H813" s="4" t="s">
        <v>11</v>
      </c>
    </row>
    <row r="814" spans="1:8" x14ac:dyDescent="0.2">
      <c r="A814" s="4" t="str">
        <f>"08.435/001/2025"</f>
        <v>08.435/001/2025</v>
      </c>
      <c r="B814" s="4" t="str">
        <f>"Wirtschaftlichkeit in der Verwaltung"</f>
        <v>Wirtschaftlichkeit in der Verwaltung</v>
      </c>
      <c r="C814" s="5">
        <v>45825</v>
      </c>
      <c r="D814" s="5">
        <v>45826</v>
      </c>
      <c r="E814" s="4" t="str">
        <f>"2 Tage"</f>
        <v>2 Tage</v>
      </c>
      <c r="F814" s="6">
        <v>430</v>
      </c>
      <c r="G814" s="4"/>
      <c r="H814" s="4" t="s">
        <v>11</v>
      </c>
    </row>
    <row r="815" spans="1:8" x14ac:dyDescent="0.2">
      <c r="A815" s="4" t="str">
        <f>"08.440/002/2025"</f>
        <v>08.440/002/2025</v>
      </c>
      <c r="B815" s="4" t="str">
        <f>"Controlling - Einführung"</f>
        <v>Controlling - Einführung</v>
      </c>
      <c r="C815" s="5">
        <v>45929</v>
      </c>
      <c r="D815" s="5">
        <v>45931</v>
      </c>
      <c r="E815" s="4" t="str">
        <f>"3 Tage"</f>
        <v>3 Tage</v>
      </c>
      <c r="F815" s="6">
        <v>670</v>
      </c>
      <c r="G815" s="4" t="str">
        <f>"Fachübergreifendes Seminar"</f>
        <v>Fachübergreifendes Seminar</v>
      </c>
      <c r="H815" s="4" t="s">
        <v>11</v>
      </c>
    </row>
    <row r="816" spans="1:8" x14ac:dyDescent="0.2">
      <c r="A816" s="4" t="str">
        <f>"08.442/001/2025"</f>
        <v>08.442/001/2025</v>
      </c>
      <c r="B816" s="4" t="str">
        <f>"Controlling - Vertiefung"</f>
        <v>Controlling - Vertiefung</v>
      </c>
      <c r="C816" s="5">
        <v>45971</v>
      </c>
      <c r="D816" s="5">
        <v>45972</v>
      </c>
      <c r="E816" s="4" t="str">
        <f>"2 Tage"</f>
        <v>2 Tage</v>
      </c>
      <c r="F816" s="6">
        <v>430</v>
      </c>
      <c r="G816" s="4" t="str">
        <f>"Fachübergreifendes Seminar"</f>
        <v>Fachübergreifendes Seminar</v>
      </c>
      <c r="H816" s="4" t="s">
        <v>11</v>
      </c>
    </row>
    <row r="817" spans="1:8" x14ac:dyDescent="0.2">
      <c r="A817" s="4" t="str">
        <f>"08.450/001/2025"</f>
        <v>08.450/001/2025</v>
      </c>
      <c r="B817" s="4" t="str">
        <f>"Gebührenkalkulation - Einführung"</f>
        <v>Gebührenkalkulation - Einführung</v>
      </c>
      <c r="C817" s="5">
        <v>45938</v>
      </c>
      <c r="D817" s="5">
        <v>45939</v>
      </c>
      <c r="E817" s="4" t="str">
        <f>"2 Tage"</f>
        <v>2 Tage</v>
      </c>
      <c r="F817" s="6">
        <v>560</v>
      </c>
      <c r="G817" s="4" t="str">
        <f>"Fachbezogenes Seminar"</f>
        <v>Fachbezogenes Seminar</v>
      </c>
      <c r="H817" s="4" t="s">
        <v>11</v>
      </c>
    </row>
    <row r="818" spans="1:8" x14ac:dyDescent="0.2">
      <c r="A818" s="4" t="str">
        <f>"08.512/001/2025"</f>
        <v>08.512/001/2025</v>
      </c>
      <c r="B818" s="4" t="str">
        <f t="shared" ref="B818:B847" si="70">"Zuwendungsrecht - Einführung"</f>
        <v>Zuwendungsrecht - Einführung</v>
      </c>
      <c r="C818" s="5">
        <v>45672</v>
      </c>
      <c r="D818" s="5">
        <v>45695</v>
      </c>
      <c r="E818" s="4" t="str">
        <f>"1x3 Tage, 1x2 Tage"</f>
        <v>1x3 Tage, 1x2 Tage</v>
      </c>
      <c r="F818" s="6">
        <v>1100</v>
      </c>
      <c r="G818" s="4"/>
      <c r="H818" s="4" t="s">
        <v>11</v>
      </c>
    </row>
    <row r="819" spans="1:8" x14ac:dyDescent="0.2">
      <c r="A819" s="4" t="str">
        <f>"08.512/001 a/2025"</f>
        <v>08.512/001 a/2025</v>
      </c>
      <c r="B819" s="4" t="str">
        <f t="shared" si="70"/>
        <v>Zuwendungsrecht - Einführung</v>
      </c>
      <c r="C819" s="5">
        <v>45672</v>
      </c>
      <c r="D819" s="5">
        <v>45674</v>
      </c>
      <c r="E819" s="4"/>
      <c r="F819" s="6" t="s">
        <v>11</v>
      </c>
      <c r="G819" s="4" t="str">
        <f>"Fachbezogenes Seminar"</f>
        <v>Fachbezogenes Seminar</v>
      </c>
      <c r="H819" s="4" t="s">
        <v>11</v>
      </c>
    </row>
    <row r="820" spans="1:8" x14ac:dyDescent="0.2">
      <c r="A820" s="4" t="str">
        <f>"08.512/001 b/2025"</f>
        <v>08.512/001 b/2025</v>
      </c>
      <c r="B820" s="4" t="str">
        <f t="shared" si="70"/>
        <v>Zuwendungsrecht - Einführung</v>
      </c>
      <c r="C820" s="5">
        <v>45694</v>
      </c>
      <c r="D820" s="5">
        <v>45695</v>
      </c>
      <c r="E820" s="4"/>
      <c r="F820" s="6" t="s">
        <v>11</v>
      </c>
      <c r="G820" s="4" t="str">
        <f>"Fachbezogenes Seminar"</f>
        <v>Fachbezogenes Seminar</v>
      </c>
      <c r="H820" s="4" t="s">
        <v>11</v>
      </c>
    </row>
    <row r="821" spans="1:8" x14ac:dyDescent="0.2">
      <c r="A821" s="4" t="str">
        <f>"08.512/002/2025"</f>
        <v>08.512/002/2025</v>
      </c>
      <c r="B821" s="4" t="str">
        <f t="shared" si="70"/>
        <v>Zuwendungsrecht - Einführung</v>
      </c>
      <c r="C821" s="5">
        <v>45733</v>
      </c>
      <c r="D821" s="5">
        <v>45755</v>
      </c>
      <c r="E821" s="4" t="str">
        <f>"1x3 Tage, 1x2 Tage"</f>
        <v>1x3 Tage, 1x2 Tage</v>
      </c>
      <c r="F821" s="6">
        <v>1100</v>
      </c>
      <c r="G821" s="4"/>
      <c r="H821" s="4" t="s">
        <v>11</v>
      </c>
    </row>
    <row r="822" spans="1:8" x14ac:dyDescent="0.2">
      <c r="A822" s="4" t="str">
        <f>"08.512/002 a/2025"</f>
        <v>08.512/002 a/2025</v>
      </c>
      <c r="B822" s="4" t="str">
        <f t="shared" si="70"/>
        <v>Zuwendungsrecht - Einführung</v>
      </c>
      <c r="C822" s="5">
        <v>45733</v>
      </c>
      <c r="D822" s="5">
        <v>45735</v>
      </c>
      <c r="E822" s="4"/>
      <c r="F822" s="6" t="s">
        <v>11</v>
      </c>
      <c r="G822" s="4" t="str">
        <f>"Fachbezogenes Seminar"</f>
        <v>Fachbezogenes Seminar</v>
      </c>
      <c r="H822" s="4" t="s">
        <v>11</v>
      </c>
    </row>
    <row r="823" spans="1:8" x14ac:dyDescent="0.2">
      <c r="A823" s="4" t="str">
        <f>"08.512/002 b/2025"</f>
        <v>08.512/002 b/2025</v>
      </c>
      <c r="B823" s="4" t="str">
        <f t="shared" si="70"/>
        <v>Zuwendungsrecht - Einführung</v>
      </c>
      <c r="C823" s="5">
        <v>45754</v>
      </c>
      <c r="D823" s="5">
        <v>45755</v>
      </c>
      <c r="E823" s="4"/>
      <c r="F823" s="6" t="s">
        <v>11</v>
      </c>
      <c r="G823" s="4" t="str">
        <f>"Fachbezogenes Seminar"</f>
        <v>Fachbezogenes Seminar</v>
      </c>
      <c r="H823" s="4" t="s">
        <v>11</v>
      </c>
    </row>
    <row r="824" spans="1:8" x14ac:dyDescent="0.2">
      <c r="A824" s="4" t="str">
        <f>"08.512/003/2025"</f>
        <v>08.512/003/2025</v>
      </c>
      <c r="B824" s="4" t="str">
        <f t="shared" si="70"/>
        <v>Zuwendungsrecht - Einführung</v>
      </c>
      <c r="C824" s="5">
        <v>45775</v>
      </c>
      <c r="D824" s="5">
        <v>45793</v>
      </c>
      <c r="E824" s="4" t="str">
        <f>"1x3 Tage, 1x2 Tage"</f>
        <v>1x3 Tage, 1x2 Tage</v>
      </c>
      <c r="F824" s="6">
        <v>1100</v>
      </c>
      <c r="G824" s="4"/>
      <c r="H824" s="4" t="s">
        <v>11</v>
      </c>
    </row>
    <row r="825" spans="1:8" x14ac:dyDescent="0.2">
      <c r="A825" s="4" t="str">
        <f>"08.512/003 a/2025"</f>
        <v>08.512/003 a/2025</v>
      </c>
      <c r="B825" s="4" t="str">
        <f t="shared" si="70"/>
        <v>Zuwendungsrecht - Einführung</v>
      </c>
      <c r="C825" s="5">
        <v>45775</v>
      </c>
      <c r="D825" s="5">
        <v>45777</v>
      </c>
      <c r="E825" s="4"/>
      <c r="F825" s="6" t="s">
        <v>11</v>
      </c>
      <c r="G825" s="4" t="str">
        <f>"Fachbezogenes Seminar"</f>
        <v>Fachbezogenes Seminar</v>
      </c>
      <c r="H825" s="4" t="s">
        <v>11</v>
      </c>
    </row>
    <row r="826" spans="1:8" x14ac:dyDescent="0.2">
      <c r="A826" s="4" t="str">
        <f>"08.512/003 b/2025"</f>
        <v>08.512/003 b/2025</v>
      </c>
      <c r="B826" s="4" t="str">
        <f t="shared" si="70"/>
        <v>Zuwendungsrecht - Einführung</v>
      </c>
      <c r="C826" s="5">
        <v>45792</v>
      </c>
      <c r="D826" s="5">
        <v>45793</v>
      </c>
      <c r="E826" s="4"/>
      <c r="F826" s="6" t="s">
        <v>11</v>
      </c>
      <c r="G826" s="4" t="str">
        <f>"Fachbezogenes Seminar"</f>
        <v>Fachbezogenes Seminar</v>
      </c>
      <c r="H826" s="4" t="s">
        <v>11</v>
      </c>
    </row>
    <row r="827" spans="1:8" x14ac:dyDescent="0.2">
      <c r="A827" s="4" t="str">
        <f>"08.512/004/2025"</f>
        <v>08.512/004/2025</v>
      </c>
      <c r="B827" s="4" t="str">
        <f t="shared" si="70"/>
        <v>Zuwendungsrecht - Einführung</v>
      </c>
      <c r="C827" s="5">
        <v>45803</v>
      </c>
      <c r="D827" s="5">
        <v>45820</v>
      </c>
      <c r="E827" s="4" t="str">
        <f>"1x3 Tage, 1x2 Tage"</f>
        <v>1x3 Tage, 1x2 Tage</v>
      </c>
      <c r="F827" s="6">
        <v>1100</v>
      </c>
      <c r="G827" s="4"/>
      <c r="H827" s="4" t="s">
        <v>11</v>
      </c>
    </row>
    <row r="828" spans="1:8" x14ac:dyDescent="0.2">
      <c r="A828" s="4" t="str">
        <f>"08.512/004 a/2025"</f>
        <v>08.512/004 a/2025</v>
      </c>
      <c r="B828" s="4" t="str">
        <f t="shared" si="70"/>
        <v>Zuwendungsrecht - Einführung</v>
      </c>
      <c r="C828" s="5">
        <v>45803</v>
      </c>
      <c r="D828" s="5">
        <v>45805</v>
      </c>
      <c r="E828" s="4"/>
      <c r="F828" s="6" t="s">
        <v>11</v>
      </c>
      <c r="G828" s="4" t="str">
        <f>"Fachbezogenes Seminar"</f>
        <v>Fachbezogenes Seminar</v>
      </c>
      <c r="H828" s="4" t="s">
        <v>11</v>
      </c>
    </row>
    <row r="829" spans="1:8" x14ac:dyDescent="0.2">
      <c r="A829" s="4" t="str">
        <f>"08.512/004 b/2025"</f>
        <v>08.512/004 b/2025</v>
      </c>
      <c r="B829" s="4" t="str">
        <f t="shared" si="70"/>
        <v>Zuwendungsrecht - Einführung</v>
      </c>
      <c r="C829" s="5">
        <v>45819</v>
      </c>
      <c r="D829" s="5">
        <v>45820</v>
      </c>
      <c r="E829" s="4"/>
      <c r="F829" s="6" t="s">
        <v>11</v>
      </c>
      <c r="G829" s="4" t="str">
        <f>"Fachbezogenes Seminar"</f>
        <v>Fachbezogenes Seminar</v>
      </c>
      <c r="H829" s="4" t="s">
        <v>11</v>
      </c>
    </row>
    <row r="830" spans="1:8" x14ac:dyDescent="0.2">
      <c r="A830" s="4" t="str">
        <f>"08.512/005/2025"</f>
        <v>08.512/005/2025</v>
      </c>
      <c r="B830" s="4" t="str">
        <f t="shared" si="70"/>
        <v>Zuwendungsrecht - Einführung</v>
      </c>
      <c r="C830" s="5">
        <v>45833</v>
      </c>
      <c r="D830" s="5">
        <v>45861</v>
      </c>
      <c r="E830" s="4" t="str">
        <f>"1x3 Tage, 1x2 Tage"</f>
        <v>1x3 Tage, 1x2 Tage</v>
      </c>
      <c r="F830" s="6">
        <v>1100</v>
      </c>
      <c r="G830" s="4"/>
      <c r="H830" s="4" t="s">
        <v>11</v>
      </c>
    </row>
    <row r="831" spans="1:8" x14ac:dyDescent="0.2">
      <c r="A831" s="4" t="str">
        <f>"08.512/005 a/2025"</f>
        <v>08.512/005 a/2025</v>
      </c>
      <c r="B831" s="4" t="str">
        <f t="shared" si="70"/>
        <v>Zuwendungsrecht - Einführung</v>
      </c>
      <c r="C831" s="5">
        <v>45833</v>
      </c>
      <c r="D831" s="5">
        <v>45835</v>
      </c>
      <c r="E831" s="4"/>
      <c r="F831" s="6" t="s">
        <v>11</v>
      </c>
      <c r="G831" s="4" t="str">
        <f>"Fachbezogenes Seminar"</f>
        <v>Fachbezogenes Seminar</v>
      </c>
      <c r="H831" s="4" t="s">
        <v>11</v>
      </c>
    </row>
    <row r="832" spans="1:8" x14ac:dyDescent="0.2">
      <c r="A832" s="4" t="str">
        <f>"08.512/005 b/2025"</f>
        <v>08.512/005 b/2025</v>
      </c>
      <c r="B832" s="4" t="str">
        <f t="shared" si="70"/>
        <v>Zuwendungsrecht - Einführung</v>
      </c>
      <c r="C832" s="5">
        <v>45860</v>
      </c>
      <c r="D832" s="5">
        <v>45861</v>
      </c>
      <c r="E832" s="4"/>
      <c r="F832" s="6" t="s">
        <v>11</v>
      </c>
      <c r="G832" s="4" t="str">
        <f>"Fachbezogenes Seminar"</f>
        <v>Fachbezogenes Seminar</v>
      </c>
      <c r="H832" s="4" t="s">
        <v>11</v>
      </c>
    </row>
    <row r="833" spans="1:8" x14ac:dyDescent="0.2">
      <c r="A833" s="4" t="str">
        <f>"08.512/006/2025"</f>
        <v>08.512/006/2025</v>
      </c>
      <c r="B833" s="4" t="str">
        <f t="shared" si="70"/>
        <v>Zuwendungsrecht - Einführung</v>
      </c>
      <c r="C833" s="5">
        <v>45847</v>
      </c>
      <c r="D833" s="5">
        <v>45912</v>
      </c>
      <c r="E833" s="4" t="str">
        <f>"1x3 Tage, 1x2 Tage"</f>
        <v>1x3 Tage, 1x2 Tage</v>
      </c>
      <c r="F833" s="6">
        <v>1100</v>
      </c>
      <c r="G833" s="4"/>
      <c r="H833" s="4" t="s">
        <v>11</v>
      </c>
    </row>
    <row r="834" spans="1:8" x14ac:dyDescent="0.2">
      <c r="A834" s="4" t="str">
        <f>"08.512/006 a/2025"</f>
        <v>08.512/006 a/2025</v>
      </c>
      <c r="B834" s="4" t="str">
        <f t="shared" si="70"/>
        <v>Zuwendungsrecht - Einführung</v>
      </c>
      <c r="C834" s="5">
        <v>45847</v>
      </c>
      <c r="D834" s="5">
        <v>45849</v>
      </c>
      <c r="E834" s="4"/>
      <c r="F834" s="6" t="s">
        <v>11</v>
      </c>
      <c r="G834" s="4" t="str">
        <f>"Fachbezogenes Seminar"</f>
        <v>Fachbezogenes Seminar</v>
      </c>
      <c r="H834" s="4" t="s">
        <v>11</v>
      </c>
    </row>
    <row r="835" spans="1:8" x14ac:dyDescent="0.2">
      <c r="A835" s="4" t="str">
        <f>"08.512/006 b/2025"</f>
        <v>08.512/006 b/2025</v>
      </c>
      <c r="B835" s="4" t="str">
        <f t="shared" si="70"/>
        <v>Zuwendungsrecht - Einführung</v>
      </c>
      <c r="C835" s="5">
        <v>45911</v>
      </c>
      <c r="D835" s="5">
        <v>45912</v>
      </c>
      <c r="E835" s="4"/>
      <c r="F835" s="6" t="s">
        <v>11</v>
      </c>
      <c r="G835" s="4" t="str">
        <f>"Fachbezogenes Seminar"</f>
        <v>Fachbezogenes Seminar</v>
      </c>
      <c r="H835" s="4" t="s">
        <v>11</v>
      </c>
    </row>
    <row r="836" spans="1:8" x14ac:dyDescent="0.2">
      <c r="A836" s="4" t="str">
        <f>"08.512/007/2025"</f>
        <v>08.512/007/2025</v>
      </c>
      <c r="B836" s="4" t="str">
        <f t="shared" si="70"/>
        <v>Zuwendungsrecht - Einführung</v>
      </c>
      <c r="C836" s="5">
        <v>45901</v>
      </c>
      <c r="D836" s="5">
        <v>45940</v>
      </c>
      <c r="E836" s="4" t="str">
        <f>"1x3 Tage, 1x2 Tage"</f>
        <v>1x3 Tage, 1x2 Tage</v>
      </c>
      <c r="F836" s="6">
        <v>1100</v>
      </c>
      <c r="G836" s="4"/>
      <c r="H836" s="4" t="s">
        <v>11</v>
      </c>
    </row>
    <row r="837" spans="1:8" x14ac:dyDescent="0.2">
      <c r="A837" s="4" t="str">
        <f>"08.512/007 a/2025"</f>
        <v>08.512/007 a/2025</v>
      </c>
      <c r="B837" s="4" t="str">
        <f t="shared" si="70"/>
        <v>Zuwendungsrecht - Einführung</v>
      </c>
      <c r="C837" s="5">
        <v>45901</v>
      </c>
      <c r="D837" s="5">
        <v>45903</v>
      </c>
      <c r="E837" s="4"/>
      <c r="F837" s="6" t="s">
        <v>11</v>
      </c>
      <c r="G837" s="4" t="str">
        <f>"Fachbezogenes Seminar"</f>
        <v>Fachbezogenes Seminar</v>
      </c>
      <c r="H837" s="4" t="s">
        <v>11</v>
      </c>
    </row>
    <row r="838" spans="1:8" x14ac:dyDescent="0.2">
      <c r="A838" s="4" t="str">
        <f>"08.512/007 b/2025"</f>
        <v>08.512/007 b/2025</v>
      </c>
      <c r="B838" s="4" t="str">
        <f t="shared" si="70"/>
        <v>Zuwendungsrecht - Einführung</v>
      </c>
      <c r="C838" s="5">
        <v>45939</v>
      </c>
      <c r="D838" s="5">
        <v>45940</v>
      </c>
      <c r="E838" s="4"/>
      <c r="F838" s="6" t="s">
        <v>11</v>
      </c>
      <c r="G838" s="4" t="str">
        <f>"Fachbezogenes Seminar"</f>
        <v>Fachbezogenes Seminar</v>
      </c>
      <c r="H838" s="4" t="s">
        <v>11</v>
      </c>
    </row>
    <row r="839" spans="1:8" x14ac:dyDescent="0.2">
      <c r="A839" s="4" t="str">
        <f>"08.512/008/2025"</f>
        <v>08.512/008/2025</v>
      </c>
      <c r="B839" s="4" t="str">
        <f t="shared" si="70"/>
        <v>Zuwendungsrecht - Einführung</v>
      </c>
      <c r="C839" s="5">
        <v>45924</v>
      </c>
      <c r="D839" s="5">
        <v>45958</v>
      </c>
      <c r="E839" s="4" t="str">
        <f>"1x3 Tage, 1x2 Tage"</f>
        <v>1x3 Tage, 1x2 Tage</v>
      </c>
      <c r="F839" s="6">
        <v>1100</v>
      </c>
      <c r="G839" s="4"/>
      <c r="H839" s="4" t="s">
        <v>11</v>
      </c>
    </row>
    <row r="840" spans="1:8" x14ac:dyDescent="0.2">
      <c r="A840" s="4" t="str">
        <f>"08.512/008 a/2025"</f>
        <v>08.512/008 a/2025</v>
      </c>
      <c r="B840" s="4" t="str">
        <f t="shared" si="70"/>
        <v>Zuwendungsrecht - Einführung</v>
      </c>
      <c r="C840" s="5">
        <v>45924</v>
      </c>
      <c r="D840" s="5">
        <v>45926</v>
      </c>
      <c r="E840" s="4"/>
      <c r="F840" s="6" t="s">
        <v>11</v>
      </c>
      <c r="G840" s="4" t="str">
        <f>"Fachbezogenes Seminar"</f>
        <v>Fachbezogenes Seminar</v>
      </c>
      <c r="H840" s="4" t="s">
        <v>11</v>
      </c>
    </row>
    <row r="841" spans="1:8" x14ac:dyDescent="0.2">
      <c r="A841" s="4" t="str">
        <f>"08.512/008 b/2025"</f>
        <v>08.512/008 b/2025</v>
      </c>
      <c r="B841" s="4" t="str">
        <f t="shared" si="70"/>
        <v>Zuwendungsrecht - Einführung</v>
      </c>
      <c r="C841" s="5">
        <v>45957</v>
      </c>
      <c r="D841" s="5">
        <v>45958</v>
      </c>
      <c r="E841" s="4"/>
      <c r="F841" s="6" t="s">
        <v>11</v>
      </c>
      <c r="G841" s="4" t="str">
        <f>"Fachbezogenes Seminar"</f>
        <v>Fachbezogenes Seminar</v>
      </c>
      <c r="H841" s="4" t="s">
        <v>11</v>
      </c>
    </row>
    <row r="842" spans="1:8" x14ac:dyDescent="0.2">
      <c r="A842" s="4" t="str">
        <f>"08.512/009/2025"</f>
        <v>08.512/009/2025</v>
      </c>
      <c r="B842" s="4" t="str">
        <f t="shared" si="70"/>
        <v>Zuwendungsrecht - Einführung</v>
      </c>
      <c r="C842" s="5">
        <v>45971</v>
      </c>
      <c r="D842" s="5">
        <v>45989</v>
      </c>
      <c r="E842" s="4" t="str">
        <f>"1x3 Tage, 1x2 Tage"</f>
        <v>1x3 Tage, 1x2 Tage</v>
      </c>
      <c r="F842" s="6">
        <v>1100</v>
      </c>
      <c r="G842" s="4"/>
      <c r="H842" s="4" t="s">
        <v>11</v>
      </c>
    </row>
    <row r="843" spans="1:8" x14ac:dyDescent="0.2">
      <c r="A843" s="4" t="str">
        <f>"08.512/009 a/2025"</f>
        <v>08.512/009 a/2025</v>
      </c>
      <c r="B843" s="4" t="str">
        <f t="shared" si="70"/>
        <v>Zuwendungsrecht - Einführung</v>
      </c>
      <c r="C843" s="5">
        <v>45971</v>
      </c>
      <c r="D843" s="5">
        <v>45973</v>
      </c>
      <c r="E843" s="4"/>
      <c r="F843" s="6" t="s">
        <v>11</v>
      </c>
      <c r="G843" s="4" t="str">
        <f>"Fachbezogenes Seminar"</f>
        <v>Fachbezogenes Seminar</v>
      </c>
      <c r="H843" s="4" t="s">
        <v>11</v>
      </c>
    </row>
    <row r="844" spans="1:8" x14ac:dyDescent="0.2">
      <c r="A844" s="4" t="str">
        <f>"08.512/009 b/2025"</f>
        <v>08.512/009 b/2025</v>
      </c>
      <c r="B844" s="4" t="str">
        <f t="shared" si="70"/>
        <v>Zuwendungsrecht - Einführung</v>
      </c>
      <c r="C844" s="5">
        <v>45988</v>
      </c>
      <c r="D844" s="5">
        <v>45989</v>
      </c>
      <c r="E844" s="4"/>
      <c r="F844" s="6" t="s">
        <v>11</v>
      </c>
      <c r="G844" s="4" t="str">
        <f>"Fachbezogenes Seminar"</f>
        <v>Fachbezogenes Seminar</v>
      </c>
      <c r="H844" s="4" t="s">
        <v>11</v>
      </c>
    </row>
    <row r="845" spans="1:8" x14ac:dyDescent="0.2">
      <c r="A845" s="4" t="str">
        <f>"08.512/010/2025"</f>
        <v>08.512/010/2025</v>
      </c>
      <c r="B845" s="4" t="str">
        <f t="shared" si="70"/>
        <v>Zuwendungsrecht - Einführung</v>
      </c>
      <c r="C845" s="5">
        <v>45987</v>
      </c>
      <c r="D845" s="5">
        <v>46008</v>
      </c>
      <c r="E845" s="4" t="str">
        <f>"1x3 Tage, 1x2 Tage"</f>
        <v>1x3 Tage, 1x2 Tage</v>
      </c>
      <c r="F845" s="6">
        <v>1100</v>
      </c>
      <c r="G845" s="4"/>
      <c r="H845" s="4" t="s">
        <v>11</v>
      </c>
    </row>
    <row r="846" spans="1:8" x14ac:dyDescent="0.2">
      <c r="A846" s="4" t="str">
        <f>"08.512/010 a/2025"</f>
        <v>08.512/010 a/2025</v>
      </c>
      <c r="B846" s="4" t="str">
        <f t="shared" si="70"/>
        <v>Zuwendungsrecht - Einführung</v>
      </c>
      <c r="C846" s="5">
        <v>45987</v>
      </c>
      <c r="D846" s="5">
        <v>45989</v>
      </c>
      <c r="E846" s="4"/>
      <c r="F846" s="6" t="s">
        <v>11</v>
      </c>
      <c r="G846" s="4" t="str">
        <f t="shared" ref="G846:G882" si="71">"Fachbezogenes Seminar"</f>
        <v>Fachbezogenes Seminar</v>
      </c>
      <c r="H846" s="4" t="s">
        <v>11</v>
      </c>
    </row>
    <row r="847" spans="1:8" x14ac:dyDescent="0.2">
      <c r="A847" s="4" t="str">
        <f>"08.512/010 b/2025"</f>
        <v>08.512/010 b/2025</v>
      </c>
      <c r="B847" s="4" t="str">
        <f t="shared" si="70"/>
        <v>Zuwendungsrecht - Einführung</v>
      </c>
      <c r="C847" s="5">
        <v>46007</v>
      </c>
      <c r="D847" s="5">
        <v>46008</v>
      </c>
      <c r="E847" s="4"/>
      <c r="F847" s="6" t="s">
        <v>11</v>
      </c>
      <c r="G847" s="4" t="str">
        <f t="shared" si="71"/>
        <v>Fachbezogenes Seminar</v>
      </c>
      <c r="H847" s="4" t="s">
        <v>11</v>
      </c>
    </row>
    <row r="848" spans="1:8" x14ac:dyDescent="0.2">
      <c r="A848" s="4" t="str">
        <f>"08.514/001/2025"</f>
        <v>08.514/001/2025</v>
      </c>
      <c r="B848" s="4" t="str">
        <f>"Zuwendungsrecht - Vertiefung"</f>
        <v>Zuwendungsrecht - Vertiefung</v>
      </c>
      <c r="C848" s="5">
        <v>45663</v>
      </c>
      <c r="D848" s="5">
        <v>45665</v>
      </c>
      <c r="E848" s="4" t="str">
        <f>"3 Tage"</f>
        <v>3 Tage</v>
      </c>
      <c r="F848" s="6">
        <v>670</v>
      </c>
      <c r="G848" s="4" t="str">
        <f t="shared" si="71"/>
        <v>Fachbezogenes Seminar</v>
      </c>
      <c r="H848" s="4" t="s">
        <v>11</v>
      </c>
    </row>
    <row r="849" spans="1:8" x14ac:dyDescent="0.2">
      <c r="A849" s="4" t="str">
        <f>"08.514/004/2025"</f>
        <v>08.514/004/2025</v>
      </c>
      <c r="B849" s="4" t="str">
        <f>"Zuwendungsrecht - Vertiefung"</f>
        <v>Zuwendungsrecht - Vertiefung</v>
      </c>
      <c r="C849" s="5">
        <v>45910</v>
      </c>
      <c r="D849" s="5">
        <v>45912</v>
      </c>
      <c r="E849" s="4" t="str">
        <f>"3 Tage"</f>
        <v>3 Tage</v>
      </c>
      <c r="F849" s="6">
        <v>670</v>
      </c>
      <c r="G849" s="4" t="str">
        <f t="shared" si="71"/>
        <v>Fachbezogenes Seminar</v>
      </c>
      <c r="H849" s="4" t="s">
        <v>11</v>
      </c>
    </row>
    <row r="850" spans="1:8" x14ac:dyDescent="0.2">
      <c r="A850" s="4" t="str">
        <f>"08.514/005/2025"</f>
        <v>08.514/005/2025</v>
      </c>
      <c r="B850" s="4" t="str">
        <f>"Zuwendungsrecht - Vertiefung"</f>
        <v>Zuwendungsrecht - Vertiefung</v>
      </c>
      <c r="C850" s="5">
        <v>46001</v>
      </c>
      <c r="D850" s="5">
        <v>46003</v>
      </c>
      <c r="E850" s="4" t="str">
        <f>"3 Tage"</f>
        <v>3 Tage</v>
      </c>
      <c r="F850" s="6">
        <v>670</v>
      </c>
      <c r="G850" s="4" t="str">
        <f t="shared" si="71"/>
        <v>Fachbezogenes Seminar</v>
      </c>
      <c r="H850" s="4" t="s">
        <v>11</v>
      </c>
    </row>
    <row r="851" spans="1:8" x14ac:dyDescent="0.2">
      <c r="A851" s="4" t="str">
        <f>"08.518/001/2025"</f>
        <v>08.518/001/2025</v>
      </c>
      <c r="B851" s="4" t="str">
        <f>"Zuwendungsrecht - haushaltsrechtliche Grundlagen"</f>
        <v>Zuwendungsrecht - haushaltsrechtliche Grundlagen</v>
      </c>
      <c r="C851" s="5">
        <v>45748</v>
      </c>
      <c r="D851" s="5">
        <v>45748</v>
      </c>
      <c r="E851" s="4" t="str">
        <f>"1 Tag"</f>
        <v>1 Tag</v>
      </c>
      <c r="F851" s="6">
        <v>200</v>
      </c>
      <c r="G851" s="4" t="str">
        <f t="shared" si="71"/>
        <v>Fachbezogenes Seminar</v>
      </c>
      <c r="H851" s="4" t="s">
        <v>11</v>
      </c>
    </row>
    <row r="852" spans="1:8" x14ac:dyDescent="0.2">
      <c r="A852" s="4" t="str">
        <f>"08.520/001/2025"</f>
        <v>08.520/001/2025</v>
      </c>
      <c r="B852" s="4" t="str">
        <f>"Zuwendungsrecht - Prüfung von Verwendungsnachweisen"</f>
        <v>Zuwendungsrecht - Prüfung von Verwendungsnachweisen</v>
      </c>
      <c r="C852" s="5">
        <v>45722</v>
      </c>
      <c r="D852" s="5">
        <v>45723</v>
      </c>
      <c r="E852" s="4" t="str">
        <f>"2 Tage"</f>
        <v>2 Tage</v>
      </c>
      <c r="F852" s="6">
        <v>430</v>
      </c>
      <c r="G852" s="4" t="str">
        <f t="shared" si="71"/>
        <v>Fachbezogenes Seminar</v>
      </c>
      <c r="H852" s="4" t="s">
        <v>11</v>
      </c>
    </row>
    <row r="853" spans="1:8" x14ac:dyDescent="0.2">
      <c r="A853" s="4" t="str">
        <f>"08.520/002/2025"</f>
        <v>08.520/002/2025</v>
      </c>
      <c r="B853" s="4" t="str">
        <f>"Zuwendungsrecht - Prüfung von Verwendungsnachweisen"</f>
        <v>Zuwendungsrecht - Prüfung von Verwendungsnachweisen</v>
      </c>
      <c r="C853" s="5">
        <v>45820</v>
      </c>
      <c r="D853" s="5">
        <v>45821</v>
      </c>
      <c r="E853" s="4" t="str">
        <f>"2 Tage"</f>
        <v>2 Tage</v>
      </c>
      <c r="F853" s="6">
        <v>430</v>
      </c>
      <c r="G853" s="4" t="str">
        <f t="shared" si="71"/>
        <v>Fachbezogenes Seminar</v>
      </c>
      <c r="H853" s="4" t="s">
        <v>11</v>
      </c>
    </row>
    <row r="854" spans="1:8" x14ac:dyDescent="0.2">
      <c r="A854" s="4" t="str">
        <f>"08.520/003/2025"</f>
        <v>08.520/003/2025</v>
      </c>
      <c r="B854" s="4" t="str">
        <f>"Zuwendungsrecht - Prüfung von Verwendungsnachweisen"</f>
        <v>Zuwendungsrecht - Prüfung von Verwendungsnachweisen</v>
      </c>
      <c r="C854" s="5">
        <v>45953</v>
      </c>
      <c r="D854" s="5">
        <v>45954</v>
      </c>
      <c r="E854" s="4" t="str">
        <f>"2 Tage"</f>
        <v>2 Tage</v>
      </c>
      <c r="F854" s="6">
        <v>430</v>
      </c>
      <c r="G854" s="4" t="str">
        <f t="shared" si="71"/>
        <v>Fachbezogenes Seminar</v>
      </c>
      <c r="H854" s="4" t="s">
        <v>11</v>
      </c>
    </row>
    <row r="855" spans="1:8" x14ac:dyDescent="0.2">
      <c r="A855" s="4" t="str">
        <f>"08.520/004/2025"</f>
        <v>08.520/004/2025</v>
      </c>
      <c r="B855" s="4" t="str">
        <f>"Zuwendungsrecht - Prüfung von Verwendungsnachweisen"</f>
        <v>Zuwendungsrecht - Prüfung von Verwendungsnachweisen</v>
      </c>
      <c r="C855" s="5">
        <v>46002</v>
      </c>
      <c r="D855" s="5">
        <v>46003</v>
      </c>
      <c r="E855" s="4" t="str">
        <f>"2 Tage"</f>
        <v>2 Tage</v>
      </c>
      <c r="F855" s="6">
        <v>430</v>
      </c>
      <c r="G855" s="4" t="str">
        <f t="shared" si="71"/>
        <v>Fachbezogenes Seminar</v>
      </c>
      <c r="H855" s="4" t="s">
        <v>11</v>
      </c>
    </row>
    <row r="856" spans="1:8" x14ac:dyDescent="0.2">
      <c r="A856" s="4" t="str">
        <f>"08.524/001/2025"</f>
        <v>08.524/001/2025</v>
      </c>
      <c r="B856" s="4" t="str">
        <f>"Zuwendungsrecht - Rückforderung von Zuwendungen"</f>
        <v>Zuwendungsrecht - Rückforderung von Zuwendungen</v>
      </c>
      <c r="C856" s="5">
        <v>45705</v>
      </c>
      <c r="D856" s="5">
        <v>45705</v>
      </c>
      <c r="E856" s="4" t="str">
        <f>"1 Tag"</f>
        <v>1 Tag</v>
      </c>
      <c r="F856" s="6">
        <v>190</v>
      </c>
      <c r="G856" s="4" t="str">
        <f t="shared" si="71"/>
        <v>Fachbezogenes Seminar</v>
      </c>
      <c r="H856" s="4" t="s">
        <v>11</v>
      </c>
    </row>
    <row r="857" spans="1:8" x14ac:dyDescent="0.2">
      <c r="A857" s="4" t="str">
        <f>"08.524/002/2025"</f>
        <v>08.524/002/2025</v>
      </c>
      <c r="B857" s="4" t="str">
        <f>"Zuwendungsrecht - Rückforderung von Zuwendungen"</f>
        <v>Zuwendungsrecht - Rückforderung von Zuwendungen</v>
      </c>
      <c r="C857" s="5">
        <v>45810</v>
      </c>
      <c r="D857" s="5">
        <v>45810</v>
      </c>
      <c r="E857" s="4" t="str">
        <f>"1 Tag"</f>
        <v>1 Tag</v>
      </c>
      <c r="F857" s="6">
        <v>190</v>
      </c>
      <c r="G857" s="4" t="str">
        <f t="shared" si="71"/>
        <v>Fachbezogenes Seminar</v>
      </c>
      <c r="H857" s="4" t="s">
        <v>11</v>
      </c>
    </row>
    <row r="858" spans="1:8" x14ac:dyDescent="0.2">
      <c r="A858" s="4" t="str">
        <f>"08.524/003/2025"</f>
        <v>08.524/003/2025</v>
      </c>
      <c r="B858" s="4" t="str">
        <f>"Zuwendungsrecht - Rückforderung von Zuwendungen"</f>
        <v>Zuwendungsrecht - Rückforderung von Zuwendungen</v>
      </c>
      <c r="C858" s="5">
        <v>45992</v>
      </c>
      <c r="D858" s="5">
        <v>45992</v>
      </c>
      <c r="E858" s="4" t="str">
        <f>"1 Tag"</f>
        <v>1 Tag</v>
      </c>
      <c r="F858" s="6">
        <v>190</v>
      </c>
      <c r="G858" s="4" t="str">
        <f t="shared" si="71"/>
        <v>Fachbezogenes Seminar</v>
      </c>
      <c r="H858" s="4" t="s">
        <v>11</v>
      </c>
    </row>
    <row r="859" spans="1:8" x14ac:dyDescent="0.2">
      <c r="A859" s="4" t="str">
        <f>"08.610/001/2025"</f>
        <v>08.610/001/2025</v>
      </c>
      <c r="B859" s="4" t="str">
        <f>"Öffentliches Auftragswesen - Einführung"</f>
        <v>Öffentliches Auftragswesen - Einführung</v>
      </c>
      <c r="C859" s="5">
        <v>45665</v>
      </c>
      <c r="D859" s="5">
        <v>45667</v>
      </c>
      <c r="E859" s="4" t="str">
        <f>"3 Tage"</f>
        <v>3 Tage</v>
      </c>
      <c r="F859" s="6">
        <v>980</v>
      </c>
      <c r="G859" s="4" t="str">
        <f t="shared" si="71"/>
        <v>Fachbezogenes Seminar</v>
      </c>
      <c r="H859" s="4" t="s">
        <v>11</v>
      </c>
    </row>
    <row r="860" spans="1:8" x14ac:dyDescent="0.2">
      <c r="A860" s="4" t="str">
        <f>"08.610/002/2025"</f>
        <v>08.610/002/2025</v>
      </c>
      <c r="B860" s="4" t="str">
        <f>"Öffentliches Auftragswesen - Einführung"</f>
        <v>Öffentliches Auftragswesen - Einführung</v>
      </c>
      <c r="C860" s="5">
        <v>45705</v>
      </c>
      <c r="D860" s="5">
        <v>45707</v>
      </c>
      <c r="E860" s="4" t="str">
        <f>"3 Tage"</f>
        <v>3 Tage</v>
      </c>
      <c r="F860" s="6">
        <v>980</v>
      </c>
      <c r="G860" s="4" t="str">
        <f t="shared" si="71"/>
        <v>Fachbezogenes Seminar</v>
      </c>
      <c r="H860" s="4" t="s">
        <v>11</v>
      </c>
    </row>
    <row r="861" spans="1:8" x14ac:dyDescent="0.2">
      <c r="A861" s="4" t="str">
        <f>"08.610/003/2025"</f>
        <v>08.610/003/2025</v>
      </c>
      <c r="B861" s="4" t="str">
        <f>"Öffentliches Auftragswesen - Einführung"</f>
        <v>Öffentliches Auftragswesen - Einführung</v>
      </c>
      <c r="C861" s="5">
        <v>45824</v>
      </c>
      <c r="D861" s="5">
        <v>45826</v>
      </c>
      <c r="E861" s="4" t="str">
        <f>"3 Tage"</f>
        <v>3 Tage</v>
      </c>
      <c r="F861" s="6">
        <v>980</v>
      </c>
      <c r="G861" s="4" t="str">
        <f t="shared" si="71"/>
        <v>Fachbezogenes Seminar</v>
      </c>
      <c r="H861" s="4" t="s">
        <v>11</v>
      </c>
    </row>
    <row r="862" spans="1:8" x14ac:dyDescent="0.2">
      <c r="A862" s="4" t="str">
        <f>"08.610/004/2025"</f>
        <v>08.610/004/2025</v>
      </c>
      <c r="B862" s="4" t="str">
        <f>"Öffentliches Auftragswesen - Einführung"</f>
        <v>Öffentliches Auftragswesen - Einführung</v>
      </c>
      <c r="C862" s="5">
        <v>45930</v>
      </c>
      <c r="D862" s="5">
        <v>45932</v>
      </c>
      <c r="E862" s="4" t="str">
        <f>"3 Tage"</f>
        <v>3 Tage</v>
      </c>
      <c r="F862" s="6">
        <v>980</v>
      </c>
      <c r="G862" s="4" t="str">
        <f t="shared" si="71"/>
        <v>Fachbezogenes Seminar</v>
      </c>
      <c r="H862" s="4" t="s">
        <v>11</v>
      </c>
    </row>
    <row r="863" spans="1:8" x14ac:dyDescent="0.2">
      <c r="A863" s="4" t="str">
        <f>"08.610/005/2025"</f>
        <v>08.610/005/2025</v>
      </c>
      <c r="B863" s="4" t="str">
        <f>"Öffentliches Auftragswesen - Einführung"</f>
        <v>Öffentliches Auftragswesen - Einführung</v>
      </c>
      <c r="C863" s="5">
        <v>45980</v>
      </c>
      <c r="D863" s="5">
        <v>45982</v>
      </c>
      <c r="E863" s="4" t="str">
        <f>"3 Tage"</f>
        <v>3 Tage</v>
      </c>
      <c r="F863" s="6">
        <v>980</v>
      </c>
      <c r="G863" s="4" t="str">
        <f t="shared" si="71"/>
        <v>Fachbezogenes Seminar</v>
      </c>
      <c r="H863" s="4" t="s">
        <v>11</v>
      </c>
    </row>
    <row r="864" spans="1:8" x14ac:dyDescent="0.2">
      <c r="A864" s="4" t="str">
        <f>"08.611/001/2025"</f>
        <v>08.611/001/2025</v>
      </c>
      <c r="B864" s="4" t="str">
        <f>"Verhandlungsvergabe von A-Z"</f>
        <v>Verhandlungsvergabe von A-Z</v>
      </c>
      <c r="C864" s="5">
        <v>45974</v>
      </c>
      <c r="D864" s="5">
        <v>45975</v>
      </c>
      <c r="E864" s="4" t="str">
        <f>"2 Tage"</f>
        <v>2 Tage</v>
      </c>
      <c r="F864" s="6">
        <v>430</v>
      </c>
      <c r="G864" s="4" t="str">
        <f t="shared" si="71"/>
        <v>Fachbezogenes Seminar</v>
      </c>
      <c r="H864" s="4" t="s">
        <v>11</v>
      </c>
    </row>
    <row r="865" spans="1:8" x14ac:dyDescent="0.2">
      <c r="A865" s="4" t="str">
        <f>"08.612/001/2025"</f>
        <v>08.612/001/2025</v>
      </c>
      <c r="B865" s="4" t="str">
        <f>"Öffentliches Auftragswesen - Vertiefung inklusive EU-Vergaberecht"</f>
        <v>Öffentliches Auftragswesen - Vertiefung inklusive EU-Vergaberecht</v>
      </c>
      <c r="C865" s="5">
        <v>45771</v>
      </c>
      <c r="D865" s="5">
        <v>45772</v>
      </c>
      <c r="E865" s="4" t="str">
        <f>"2 Tage"</f>
        <v>2 Tage</v>
      </c>
      <c r="F865" s="6">
        <v>430</v>
      </c>
      <c r="G865" s="4" t="str">
        <f t="shared" si="71"/>
        <v>Fachbezogenes Seminar</v>
      </c>
      <c r="H865" s="4" t="s">
        <v>11</v>
      </c>
    </row>
    <row r="866" spans="1:8" x14ac:dyDescent="0.2">
      <c r="A866" s="4" t="str">
        <f>"08.612/002/2025"</f>
        <v>08.612/002/2025</v>
      </c>
      <c r="B866" s="4" t="str">
        <f>"Öffentliches Auftragswesen - Vertiefung inklusive EU-Vergaberecht"</f>
        <v>Öffentliches Auftragswesen - Vertiefung inklusive EU-Vergaberecht</v>
      </c>
      <c r="C866" s="5">
        <v>45943</v>
      </c>
      <c r="D866" s="5">
        <v>45944</v>
      </c>
      <c r="E866" s="4" t="str">
        <f>"2 Tage"</f>
        <v>2 Tage</v>
      </c>
      <c r="F866" s="6">
        <v>430</v>
      </c>
      <c r="G866" s="4" t="str">
        <f t="shared" si="71"/>
        <v>Fachbezogenes Seminar</v>
      </c>
      <c r="H866" s="4" t="s">
        <v>11</v>
      </c>
    </row>
    <row r="867" spans="1:8" x14ac:dyDescent="0.2">
      <c r="A867" s="4" t="str">
        <f>"08.613/001/2025"</f>
        <v>08.613/001/2025</v>
      </c>
      <c r="B867" s="4" t="str">
        <f>"Grundlagen der Vergabe im Gebäudemanagement"</f>
        <v>Grundlagen der Vergabe im Gebäudemanagement</v>
      </c>
      <c r="C867" s="5">
        <v>45754</v>
      </c>
      <c r="D867" s="5">
        <v>45755</v>
      </c>
      <c r="E867" s="4" t="str">
        <f>"2 Tage"</f>
        <v>2 Tage</v>
      </c>
      <c r="F867" s="6">
        <v>430</v>
      </c>
      <c r="G867" s="4" t="str">
        <f t="shared" si="71"/>
        <v>Fachbezogenes Seminar</v>
      </c>
      <c r="H867" s="4" t="s">
        <v>11</v>
      </c>
    </row>
    <row r="868" spans="1:8" x14ac:dyDescent="0.2">
      <c r="A868" s="4" t="str">
        <f>"08.613/002/2025"</f>
        <v>08.613/002/2025</v>
      </c>
      <c r="B868" s="4" t="str">
        <f>"Grundlagen der Vergabe im Gebäudemanagement"</f>
        <v>Grundlagen der Vergabe im Gebäudemanagement</v>
      </c>
      <c r="C868" s="5">
        <v>45986</v>
      </c>
      <c r="D868" s="5">
        <v>45987</v>
      </c>
      <c r="E868" s="4" t="str">
        <f>"2 Tage"</f>
        <v>2 Tage</v>
      </c>
      <c r="F868" s="6">
        <v>430</v>
      </c>
      <c r="G868" s="4" t="str">
        <f t="shared" si="71"/>
        <v>Fachbezogenes Seminar</v>
      </c>
      <c r="H868" s="4" t="s">
        <v>11</v>
      </c>
    </row>
    <row r="869" spans="1:8" x14ac:dyDescent="0.2">
      <c r="A869" s="4" t="str">
        <f>"08.614/001/2025"</f>
        <v>08.614/001/2025</v>
      </c>
      <c r="B869" s="4" t="str">
        <f>"Grundlagen der VOB Teil A Basisparagrafen"</f>
        <v>Grundlagen der VOB Teil A Basisparagrafen</v>
      </c>
      <c r="C869" s="5">
        <v>45789</v>
      </c>
      <c r="D869" s="5">
        <v>45789</v>
      </c>
      <c r="E869" s="4" t="str">
        <f>"1 Tag"</f>
        <v>1 Tag</v>
      </c>
      <c r="F869" s="6">
        <v>190</v>
      </c>
      <c r="G869" s="4" t="str">
        <f t="shared" si="71"/>
        <v>Fachbezogenes Seminar</v>
      </c>
      <c r="H869" s="4" t="s">
        <v>11</v>
      </c>
    </row>
    <row r="870" spans="1:8" x14ac:dyDescent="0.2">
      <c r="A870" s="4" t="str">
        <f>"08.616/001/2025"</f>
        <v>08.616/001/2025</v>
      </c>
      <c r="B870" s="4" t="str">
        <f>"Öffentliches Auftragswesen - Workshop"</f>
        <v>Öffentliches Auftragswesen - Workshop</v>
      </c>
      <c r="C870" s="5">
        <v>45744</v>
      </c>
      <c r="D870" s="5">
        <v>45744</v>
      </c>
      <c r="E870" s="4" t="str">
        <f>"1 Tag"</f>
        <v>1 Tag</v>
      </c>
      <c r="F870" s="6">
        <v>190</v>
      </c>
      <c r="G870" s="4" t="str">
        <f t="shared" si="71"/>
        <v>Fachbezogenes Seminar</v>
      </c>
      <c r="H870" s="4" t="s">
        <v>11</v>
      </c>
    </row>
    <row r="871" spans="1:8" x14ac:dyDescent="0.2">
      <c r="A871" s="4" t="str">
        <f>"08.624/001/2025"</f>
        <v>08.624/001/2025</v>
      </c>
      <c r="B871" s="4" t="str">
        <f>"Öffentliches Auftragswesen - vertragliche Grundlagen der Beschaffung von Liefer- und Dienstleistungen VOL/B"</f>
        <v>Öffentliches Auftragswesen - vertragliche Grundlagen der Beschaffung von Liefer- und Dienstleistungen VOL/B</v>
      </c>
      <c r="C871" s="5">
        <v>45824</v>
      </c>
      <c r="D871" s="5">
        <v>45825</v>
      </c>
      <c r="E871" s="4" t="str">
        <f t="shared" ref="E871:E876" si="72">"2 Tage"</f>
        <v>2 Tage</v>
      </c>
      <c r="F871" s="6">
        <v>430</v>
      </c>
      <c r="G871" s="4" t="str">
        <f t="shared" si="71"/>
        <v>Fachbezogenes Seminar</v>
      </c>
      <c r="H871" s="4" t="s">
        <v>11</v>
      </c>
    </row>
    <row r="872" spans="1:8" x14ac:dyDescent="0.2">
      <c r="A872" s="4" t="str">
        <f>"08.626/001/2025"</f>
        <v>08.626/001/2025</v>
      </c>
      <c r="B872" s="4" t="str">
        <f>"Öffentliches Auftragswesen - vertragliche Grundlagen der Beschaffung von Bauleistungen VOB/B"</f>
        <v>Öffentliches Auftragswesen - vertragliche Grundlagen der Beschaffung von Bauleistungen VOB/B</v>
      </c>
      <c r="C872" s="5">
        <v>45848</v>
      </c>
      <c r="D872" s="5">
        <v>45849</v>
      </c>
      <c r="E872" s="4" t="str">
        <f t="shared" si="72"/>
        <v>2 Tage</v>
      </c>
      <c r="F872" s="6">
        <v>430</v>
      </c>
      <c r="G872" s="4" t="str">
        <f t="shared" si="71"/>
        <v>Fachbezogenes Seminar</v>
      </c>
      <c r="H872" s="4" t="s">
        <v>11</v>
      </c>
    </row>
    <row r="873" spans="1:8" x14ac:dyDescent="0.2">
      <c r="A873" s="4" t="str">
        <f>"08.628/001/2025"</f>
        <v>08.628/001/2025</v>
      </c>
      <c r="B873" s="4" t="str">
        <f>"Öffentliches Auftragswesen - Verhandlungsvergabe und Verhandeln"</f>
        <v>Öffentliches Auftragswesen - Verhandlungsvergabe und Verhandeln</v>
      </c>
      <c r="C873" s="5">
        <v>45728</v>
      </c>
      <c r="D873" s="5">
        <v>45729</v>
      </c>
      <c r="E873" s="4" t="str">
        <f t="shared" si="72"/>
        <v>2 Tage</v>
      </c>
      <c r="F873" s="6">
        <v>430</v>
      </c>
      <c r="G873" s="4" t="str">
        <f t="shared" si="71"/>
        <v>Fachbezogenes Seminar</v>
      </c>
      <c r="H873" s="4" t="s">
        <v>11</v>
      </c>
    </row>
    <row r="874" spans="1:8" x14ac:dyDescent="0.2">
      <c r="A874" s="4" t="str">
        <f>"08.630/001/2025"</f>
        <v>08.630/001/2025</v>
      </c>
      <c r="B874" s="4" t="str">
        <f>"Öffentliches Auftragswesen für Zuwendungsempfänger und deren Prüfer"</f>
        <v>Öffentliches Auftragswesen für Zuwendungsempfänger und deren Prüfer</v>
      </c>
      <c r="C874" s="5">
        <v>45775</v>
      </c>
      <c r="D874" s="5">
        <v>45776</v>
      </c>
      <c r="E874" s="4" t="str">
        <f t="shared" si="72"/>
        <v>2 Tage</v>
      </c>
      <c r="F874" s="6">
        <v>430</v>
      </c>
      <c r="G874" s="4" t="str">
        <f t="shared" si="71"/>
        <v>Fachbezogenes Seminar</v>
      </c>
      <c r="H874" s="4" t="s">
        <v>11</v>
      </c>
    </row>
    <row r="875" spans="1:8" x14ac:dyDescent="0.2">
      <c r="A875" s="4" t="str">
        <f>"08.630/002/2025"</f>
        <v>08.630/002/2025</v>
      </c>
      <c r="B875" s="4" t="str">
        <f>"Öffentliches Auftragswesen für Zuwendungsempfänger und deren Prüfer"</f>
        <v>Öffentliches Auftragswesen für Zuwendungsempfänger und deren Prüfer</v>
      </c>
      <c r="C875" s="5">
        <v>45967</v>
      </c>
      <c r="D875" s="5">
        <v>45968</v>
      </c>
      <c r="E875" s="4" t="str">
        <f t="shared" si="72"/>
        <v>2 Tage</v>
      </c>
      <c r="F875" s="6">
        <v>430</v>
      </c>
      <c r="G875" s="4" t="str">
        <f t="shared" si="71"/>
        <v>Fachbezogenes Seminar</v>
      </c>
      <c r="H875" s="4" t="s">
        <v>11</v>
      </c>
    </row>
    <row r="876" spans="1:8" x14ac:dyDescent="0.2">
      <c r="A876" s="4" t="str">
        <f>"08.635/001/2025"</f>
        <v>08.635/001/2025</v>
      </c>
      <c r="B876" s="4" t="str">
        <f>"EVB-IT: Musterverträge für Vergaben einordnen, verstehen, bewerten"</f>
        <v>EVB-IT: Musterverträge für Vergaben einordnen, verstehen, bewerten</v>
      </c>
      <c r="C876" s="5">
        <v>45733</v>
      </c>
      <c r="D876" s="5">
        <v>45734</v>
      </c>
      <c r="E876" s="4" t="str">
        <f t="shared" si="72"/>
        <v>2 Tage</v>
      </c>
      <c r="F876" s="6">
        <v>450</v>
      </c>
      <c r="G876" s="4" t="str">
        <f t="shared" si="71"/>
        <v>Fachbezogenes Seminar</v>
      </c>
      <c r="H876" s="4" t="s">
        <v>13</v>
      </c>
    </row>
    <row r="877" spans="1:8" x14ac:dyDescent="0.2">
      <c r="A877" s="4" t="str">
        <f>"08.640/001/2025"</f>
        <v>08.640/001/2025</v>
      </c>
      <c r="B877" s="4" t="str">
        <f>"Vergaberechtliches Grundwissen für Bedarfsstellen im Unterschwellenbereich"</f>
        <v>Vergaberechtliches Grundwissen für Bedarfsstellen im Unterschwellenbereich</v>
      </c>
      <c r="C877" s="5">
        <v>45898</v>
      </c>
      <c r="D877" s="5">
        <v>45898</v>
      </c>
      <c r="E877" s="4" t="str">
        <f t="shared" ref="E877:E882" si="73">"1 Tag"</f>
        <v>1 Tag</v>
      </c>
      <c r="F877" s="6">
        <v>190</v>
      </c>
      <c r="G877" s="4" t="str">
        <f t="shared" si="71"/>
        <v>Fachbezogenes Seminar</v>
      </c>
      <c r="H877" s="4" t="s">
        <v>11</v>
      </c>
    </row>
    <row r="878" spans="1:8" x14ac:dyDescent="0.2">
      <c r="A878" s="4" t="str">
        <f>"08.644/001/2025"</f>
        <v>08.644/001/2025</v>
      </c>
      <c r="B878" s="4" t="str">
        <f>"Rahmenvereinbarungen, Interimsvergabe und Direktbeauftragung -Anwendungsmöglichkeiten und Grenzen"</f>
        <v>Rahmenvereinbarungen, Interimsvergabe und Direktbeauftragung -Anwendungsmöglichkeiten und Grenzen</v>
      </c>
      <c r="C878" s="5">
        <v>45978</v>
      </c>
      <c r="D878" s="5">
        <v>45978</v>
      </c>
      <c r="E878" s="4" t="str">
        <f t="shared" si="73"/>
        <v>1 Tag</v>
      </c>
      <c r="F878" s="6">
        <v>190</v>
      </c>
      <c r="G878" s="4" t="str">
        <f t="shared" si="71"/>
        <v>Fachbezogenes Seminar</v>
      </c>
      <c r="H878" s="4" t="s">
        <v>11</v>
      </c>
    </row>
    <row r="879" spans="1:8" x14ac:dyDescent="0.2">
      <c r="A879" s="4" t="str">
        <f>"08.650/001/2025"</f>
        <v>08.650/001/2025</v>
      </c>
      <c r="B879" s="4" t="str">
        <f>"Einführung in die Vergabe von Liefer- und Dienstleistungen - kompakt"</f>
        <v>Einführung in die Vergabe von Liefer- und Dienstleistungen - kompakt</v>
      </c>
      <c r="C879" s="5">
        <v>45698</v>
      </c>
      <c r="D879" s="5">
        <v>45698</v>
      </c>
      <c r="E879" s="4" t="str">
        <f t="shared" si="73"/>
        <v>1 Tag</v>
      </c>
      <c r="F879" s="6">
        <v>190</v>
      </c>
      <c r="G879" s="4" t="str">
        <f t="shared" si="71"/>
        <v>Fachbezogenes Seminar</v>
      </c>
      <c r="H879" s="4" t="s">
        <v>11</v>
      </c>
    </row>
    <row r="880" spans="1:8" x14ac:dyDescent="0.2">
      <c r="A880" s="4" t="str">
        <f>"08.650/002/2025"</f>
        <v>08.650/002/2025</v>
      </c>
      <c r="B880" s="4" t="str">
        <f>"Einführung in die Vergabe von Liefer- und Dienstleistungen - kompakt"</f>
        <v>Einführung in die Vergabe von Liefer- und Dienstleistungen - kompakt</v>
      </c>
      <c r="C880" s="5">
        <v>45980</v>
      </c>
      <c r="D880" s="5">
        <v>45980</v>
      </c>
      <c r="E880" s="4" t="str">
        <f t="shared" si="73"/>
        <v>1 Tag</v>
      </c>
      <c r="F880" s="6">
        <v>190</v>
      </c>
      <c r="G880" s="4" t="str">
        <f t="shared" si="71"/>
        <v>Fachbezogenes Seminar</v>
      </c>
      <c r="H880" s="4" t="s">
        <v>11</v>
      </c>
    </row>
    <row r="881" spans="1:8" x14ac:dyDescent="0.2">
      <c r="A881" s="4" t="str">
        <f>"08.652/001/2025"</f>
        <v>08.652/001/2025</v>
      </c>
      <c r="B881" s="4" t="str">
        <f>"Vertiefungsworkshop - Vergabe von Dienst- und Lieferleistungen - kompakt"</f>
        <v>Vertiefungsworkshop - Vergabe von Dienst- und Lieferleistungen - kompakt</v>
      </c>
      <c r="C881" s="5">
        <v>45821</v>
      </c>
      <c r="D881" s="5">
        <v>45821</v>
      </c>
      <c r="E881" s="4" t="str">
        <f t="shared" si="73"/>
        <v>1 Tag</v>
      </c>
      <c r="F881" s="6">
        <v>190</v>
      </c>
      <c r="G881" s="4" t="str">
        <f t="shared" si="71"/>
        <v>Fachbezogenes Seminar</v>
      </c>
      <c r="H881" s="4" t="s">
        <v>11</v>
      </c>
    </row>
    <row r="882" spans="1:8" x14ac:dyDescent="0.2">
      <c r="A882" s="4" t="str">
        <f>"08.652/002/2025"</f>
        <v>08.652/002/2025</v>
      </c>
      <c r="B882" s="4" t="str">
        <f>"Vertiefungsworkshop - Vergabe von Dienst- und Lieferleistungen - kompakt"</f>
        <v>Vertiefungsworkshop - Vergabe von Dienst- und Lieferleistungen - kompakt</v>
      </c>
      <c r="C882" s="5">
        <v>46006</v>
      </c>
      <c r="D882" s="5">
        <v>46006</v>
      </c>
      <c r="E882" s="4" t="str">
        <f t="shared" si="73"/>
        <v>1 Tag</v>
      </c>
      <c r="F882" s="6">
        <v>190</v>
      </c>
      <c r="G882" s="4" t="str">
        <f t="shared" si="71"/>
        <v>Fachbezogenes Seminar</v>
      </c>
      <c r="H882" s="4" t="s">
        <v>11</v>
      </c>
    </row>
    <row r="883" spans="1:8" x14ac:dyDescent="0.2">
      <c r="A883" s="4" t="str">
        <f>"08.654/001/2025"</f>
        <v>08.654/001/2025</v>
      </c>
      <c r="B883" s="4" t="str">
        <f>"Nachhaltige öffentliche Beschaffung - qualitative Aspekte in der Vergabeentscheidung"</f>
        <v>Nachhaltige öffentliche Beschaffung - qualitative Aspekte in der Vergabeentscheidung</v>
      </c>
      <c r="C883" s="5">
        <v>45960</v>
      </c>
      <c r="D883" s="5">
        <v>45961</v>
      </c>
      <c r="E883" s="4" t="str">
        <f>"2 Tage"</f>
        <v>2 Tage</v>
      </c>
      <c r="F883" s="6">
        <v>610</v>
      </c>
      <c r="G883" s="4" t="str">
        <f>"Fachübergreifendes Seminar"</f>
        <v>Fachübergreifendes Seminar</v>
      </c>
      <c r="H883" s="4" t="s">
        <v>13</v>
      </c>
    </row>
    <row r="884" spans="1:8" x14ac:dyDescent="0.2">
      <c r="A884" s="4" t="str">
        <f>"08.710/001/2025"</f>
        <v>08.710/001/2025</v>
      </c>
      <c r="B884" s="4" t="str">
        <f>"Rechtliche Grundlagen des Verwaltungshandelns"</f>
        <v>Rechtliche Grundlagen des Verwaltungshandelns</v>
      </c>
      <c r="C884" s="5">
        <v>45728</v>
      </c>
      <c r="D884" s="5">
        <v>45758</v>
      </c>
      <c r="E884" s="4" t="str">
        <f>"1x3 Tage, 1x2 Tage"</f>
        <v>1x3 Tage, 1x2 Tage</v>
      </c>
      <c r="F884" s="6">
        <v>1100</v>
      </c>
      <c r="G884" s="4"/>
      <c r="H884" s="4" t="s">
        <v>11</v>
      </c>
    </row>
    <row r="885" spans="1:8" x14ac:dyDescent="0.2">
      <c r="A885" s="4" t="str">
        <f>"08.710/001 a/2025"</f>
        <v>08.710/001 a/2025</v>
      </c>
      <c r="B885" s="4" t="str">
        <f>"Rechtliche Grundlagen des Verwaltungshandelns "</f>
        <v xml:space="preserve">Rechtliche Grundlagen des Verwaltungshandelns </v>
      </c>
      <c r="C885" s="5">
        <v>45728</v>
      </c>
      <c r="D885" s="5">
        <v>45730</v>
      </c>
      <c r="E885" s="4"/>
      <c r="F885" s="6" t="s">
        <v>11</v>
      </c>
      <c r="G885" s="4" t="str">
        <f>"Fachbezogenes Seminar"</f>
        <v>Fachbezogenes Seminar</v>
      </c>
      <c r="H885" s="4" t="s">
        <v>11</v>
      </c>
    </row>
    <row r="886" spans="1:8" x14ac:dyDescent="0.2">
      <c r="A886" s="4" t="str">
        <f>"08.710/001 b/2025"</f>
        <v>08.710/001 b/2025</v>
      </c>
      <c r="B886" s="4" t="str">
        <f>"Rechtliche Grundlagen des Verwaltungshandelns "</f>
        <v xml:space="preserve">Rechtliche Grundlagen des Verwaltungshandelns </v>
      </c>
      <c r="C886" s="5">
        <v>45757</v>
      </c>
      <c r="D886" s="5">
        <v>45758</v>
      </c>
      <c r="E886" s="4"/>
      <c r="F886" s="6" t="s">
        <v>11</v>
      </c>
      <c r="G886" s="4" t="str">
        <f>"Fachbezogenes Seminar"</f>
        <v>Fachbezogenes Seminar</v>
      </c>
      <c r="H886" s="4" t="s">
        <v>11</v>
      </c>
    </row>
    <row r="887" spans="1:8" x14ac:dyDescent="0.2">
      <c r="A887" s="4" t="str">
        <f>"08.710/002/2025"</f>
        <v>08.710/002/2025</v>
      </c>
      <c r="B887" s="4" t="str">
        <f>"Rechtliche Grundlagen des Verwaltungshandelns"</f>
        <v>Rechtliche Grundlagen des Verwaltungshandelns</v>
      </c>
      <c r="C887" s="5">
        <v>45791</v>
      </c>
      <c r="D887" s="5">
        <v>45849</v>
      </c>
      <c r="E887" s="4" t="str">
        <f>"1x3 Tage, 1x2 Tage"</f>
        <v>1x3 Tage, 1x2 Tage</v>
      </c>
      <c r="F887" s="6">
        <v>1100</v>
      </c>
      <c r="G887" s="4"/>
      <c r="H887" s="4" t="s">
        <v>11</v>
      </c>
    </row>
    <row r="888" spans="1:8" x14ac:dyDescent="0.2">
      <c r="A888" s="4" t="str">
        <f>"08.710/002 a/2025"</f>
        <v>08.710/002 a/2025</v>
      </c>
      <c r="B888" s="4" t="str">
        <f>"Rechtliche Grundlagen des Verwaltungshandelns "</f>
        <v xml:space="preserve">Rechtliche Grundlagen des Verwaltungshandelns </v>
      </c>
      <c r="C888" s="5">
        <v>45791</v>
      </c>
      <c r="D888" s="5">
        <v>45793</v>
      </c>
      <c r="E888" s="4"/>
      <c r="F888" s="6" t="s">
        <v>11</v>
      </c>
      <c r="G888" s="4" t="str">
        <f>"Fachbezogenes Seminar"</f>
        <v>Fachbezogenes Seminar</v>
      </c>
      <c r="H888" s="4" t="s">
        <v>11</v>
      </c>
    </row>
    <row r="889" spans="1:8" x14ac:dyDescent="0.2">
      <c r="A889" s="4" t="str">
        <f>"08.710/002 b/2025"</f>
        <v>08.710/002 b/2025</v>
      </c>
      <c r="B889" s="4" t="str">
        <f>"Rechtliche Grundlagen des Verwaltungshandelns "</f>
        <v xml:space="preserve">Rechtliche Grundlagen des Verwaltungshandelns </v>
      </c>
      <c r="C889" s="5">
        <v>45848</v>
      </c>
      <c r="D889" s="5">
        <v>45849</v>
      </c>
      <c r="E889" s="4"/>
      <c r="F889" s="6" t="s">
        <v>11</v>
      </c>
      <c r="G889" s="4" t="str">
        <f>"Fachbezogenes Seminar"</f>
        <v>Fachbezogenes Seminar</v>
      </c>
      <c r="H889" s="4" t="s">
        <v>11</v>
      </c>
    </row>
    <row r="890" spans="1:8" x14ac:dyDescent="0.2">
      <c r="A890" s="4" t="str">
        <f>"08.710/003/2025"</f>
        <v>08.710/003/2025</v>
      </c>
      <c r="B890" s="4" t="str">
        <f>"Rechtliche Grundlagen des Verwaltungshandelns"</f>
        <v>Rechtliche Grundlagen des Verwaltungshandelns</v>
      </c>
      <c r="C890" s="5">
        <v>45866</v>
      </c>
      <c r="D890" s="5">
        <v>45916</v>
      </c>
      <c r="E890" s="4" t="str">
        <f>"1x3 Tage, 1x2 Tage"</f>
        <v>1x3 Tage, 1x2 Tage</v>
      </c>
      <c r="F890" s="6">
        <v>1100</v>
      </c>
      <c r="G890" s="4"/>
      <c r="H890" s="4" t="s">
        <v>11</v>
      </c>
    </row>
    <row r="891" spans="1:8" x14ac:dyDescent="0.2">
      <c r="A891" s="4" t="str">
        <f>"08.710/003 a/2025"</f>
        <v>08.710/003 a/2025</v>
      </c>
      <c r="B891" s="4" t="str">
        <f>"Rechtliche Grundlagen des Verwaltungshandelns "</f>
        <v xml:space="preserve">Rechtliche Grundlagen des Verwaltungshandelns </v>
      </c>
      <c r="C891" s="5">
        <v>45866</v>
      </c>
      <c r="D891" s="5">
        <v>45868</v>
      </c>
      <c r="E891" s="4"/>
      <c r="F891" s="6" t="s">
        <v>11</v>
      </c>
      <c r="G891" s="4" t="str">
        <f>"Fachbezogenes Seminar"</f>
        <v>Fachbezogenes Seminar</v>
      </c>
      <c r="H891" s="4" t="s">
        <v>11</v>
      </c>
    </row>
    <row r="892" spans="1:8" x14ac:dyDescent="0.2">
      <c r="A892" s="4" t="str">
        <f>"08.710/003 b/2025"</f>
        <v>08.710/003 b/2025</v>
      </c>
      <c r="B892" s="4" t="str">
        <f>"Rechtliche Grundlagen des Verwaltungshandelns "</f>
        <v xml:space="preserve">Rechtliche Grundlagen des Verwaltungshandelns </v>
      </c>
      <c r="C892" s="5">
        <v>45915</v>
      </c>
      <c r="D892" s="5">
        <v>45916</v>
      </c>
      <c r="E892" s="4"/>
      <c r="F892" s="6" t="s">
        <v>11</v>
      </c>
      <c r="G892" s="4" t="str">
        <f>"Fachbezogenes Seminar"</f>
        <v>Fachbezogenes Seminar</v>
      </c>
      <c r="H892" s="4" t="s">
        <v>11</v>
      </c>
    </row>
    <row r="893" spans="1:8" x14ac:dyDescent="0.2">
      <c r="A893" s="4" t="str">
        <f>"08.710/004/2025"</f>
        <v>08.710/004/2025</v>
      </c>
      <c r="B893" s="4" t="str">
        <f>"Rechtliche Grundlagen des Verwaltungshandelns"</f>
        <v>Rechtliche Grundlagen des Verwaltungshandelns</v>
      </c>
      <c r="C893" s="5">
        <v>45952</v>
      </c>
      <c r="D893" s="5">
        <v>45986</v>
      </c>
      <c r="E893" s="4" t="str">
        <f>"1x3 Tage, 1x2 Tage"</f>
        <v>1x3 Tage, 1x2 Tage</v>
      </c>
      <c r="F893" s="6">
        <v>1100</v>
      </c>
      <c r="G893" s="4"/>
      <c r="H893" s="4" t="s">
        <v>11</v>
      </c>
    </row>
    <row r="894" spans="1:8" x14ac:dyDescent="0.2">
      <c r="A894" s="4" t="str">
        <f>"08.710/004 a/2025"</f>
        <v>08.710/004 a/2025</v>
      </c>
      <c r="B894" s="4" t="str">
        <f>"Rechtliche Grundlagen des Verwaltungshandelns "</f>
        <v xml:space="preserve">Rechtliche Grundlagen des Verwaltungshandelns </v>
      </c>
      <c r="C894" s="5">
        <v>45952</v>
      </c>
      <c r="D894" s="5">
        <v>45954</v>
      </c>
      <c r="E894" s="4"/>
      <c r="F894" s="6" t="s">
        <v>11</v>
      </c>
      <c r="G894" s="4" t="str">
        <f t="shared" ref="G894:G902" si="74">"Fachbezogenes Seminar"</f>
        <v>Fachbezogenes Seminar</v>
      </c>
      <c r="H894" s="4" t="s">
        <v>11</v>
      </c>
    </row>
    <row r="895" spans="1:8" x14ac:dyDescent="0.2">
      <c r="A895" s="4" t="str">
        <f>"08.710/004 b/2025"</f>
        <v>08.710/004 b/2025</v>
      </c>
      <c r="B895" s="4" t="str">
        <f>"Rechtliche Grundlagen des Verwaltungshandelns "</f>
        <v xml:space="preserve">Rechtliche Grundlagen des Verwaltungshandelns </v>
      </c>
      <c r="C895" s="5">
        <v>45985</v>
      </c>
      <c r="D895" s="5">
        <v>45986</v>
      </c>
      <c r="E895" s="4"/>
      <c r="F895" s="6" t="s">
        <v>11</v>
      </c>
      <c r="G895" s="4" t="str">
        <f t="shared" si="74"/>
        <v>Fachbezogenes Seminar</v>
      </c>
      <c r="H895" s="4" t="s">
        <v>11</v>
      </c>
    </row>
    <row r="896" spans="1:8" x14ac:dyDescent="0.2">
      <c r="A896" s="4" t="str">
        <f>"08.711/001/2025"</f>
        <v>08.711/001/2025</v>
      </c>
      <c r="B896" s="4" t="str">
        <f>"Methoden der Rechtsanwendung - Bescheidtechnik für Nichtjuristen"</f>
        <v>Methoden der Rechtsanwendung - Bescheidtechnik für Nichtjuristen</v>
      </c>
      <c r="C896" s="5">
        <v>45694</v>
      </c>
      <c r="D896" s="5">
        <v>45695</v>
      </c>
      <c r="E896" s="4" t="str">
        <f>"2 Tage"</f>
        <v>2 Tage</v>
      </c>
      <c r="F896" s="6">
        <v>430</v>
      </c>
      <c r="G896" s="4" t="str">
        <f t="shared" si="74"/>
        <v>Fachbezogenes Seminar</v>
      </c>
      <c r="H896" s="4" t="s">
        <v>11</v>
      </c>
    </row>
    <row r="897" spans="1:8" x14ac:dyDescent="0.2">
      <c r="A897" s="4" t="str">
        <f>"08.711/002/2025"</f>
        <v>08.711/002/2025</v>
      </c>
      <c r="B897" s="4" t="str">
        <f>"Methoden der Rechtsanwendung - Bescheidtechnik für Nichtjuristen"</f>
        <v>Methoden der Rechtsanwendung - Bescheidtechnik für Nichtjuristen</v>
      </c>
      <c r="C897" s="5">
        <v>45841</v>
      </c>
      <c r="D897" s="5">
        <v>45842</v>
      </c>
      <c r="E897" s="4" t="str">
        <f>"2 Tage"</f>
        <v>2 Tage</v>
      </c>
      <c r="F897" s="6">
        <v>430</v>
      </c>
      <c r="G897" s="4" t="str">
        <f t="shared" si="74"/>
        <v>Fachbezogenes Seminar</v>
      </c>
      <c r="H897" s="4" t="s">
        <v>11</v>
      </c>
    </row>
    <row r="898" spans="1:8" x14ac:dyDescent="0.2">
      <c r="A898" s="4" t="str">
        <f>"08.711/003/2025"</f>
        <v>08.711/003/2025</v>
      </c>
      <c r="B898" s="4" t="str">
        <f>"Methoden der Rechtsanwendung - Bescheidtechnik für Nichtjuristen"</f>
        <v>Methoden der Rechtsanwendung - Bescheidtechnik für Nichtjuristen</v>
      </c>
      <c r="C898" s="5">
        <v>45904</v>
      </c>
      <c r="D898" s="5">
        <v>45905</v>
      </c>
      <c r="E898" s="4" t="str">
        <f>"2 Tage"</f>
        <v>2 Tage</v>
      </c>
      <c r="F898" s="6">
        <v>430</v>
      </c>
      <c r="G898" s="4" t="str">
        <f t="shared" si="74"/>
        <v>Fachbezogenes Seminar</v>
      </c>
      <c r="H898" s="4" t="s">
        <v>11</v>
      </c>
    </row>
    <row r="899" spans="1:8" x14ac:dyDescent="0.2">
      <c r="A899" s="4" t="str">
        <f>"08.711/004/2025"</f>
        <v>08.711/004/2025</v>
      </c>
      <c r="B899" s="4" t="str">
        <f>"Methoden der Rechtsanwendung - Bescheidtechnik für Nichtjuristen"</f>
        <v>Methoden der Rechtsanwendung - Bescheidtechnik für Nichtjuristen</v>
      </c>
      <c r="C899" s="5">
        <v>45953</v>
      </c>
      <c r="D899" s="5">
        <v>45954</v>
      </c>
      <c r="E899" s="4" t="str">
        <f>"2 Tage"</f>
        <v>2 Tage</v>
      </c>
      <c r="F899" s="6">
        <v>430</v>
      </c>
      <c r="G899" s="4" t="str">
        <f t="shared" si="74"/>
        <v>Fachbezogenes Seminar</v>
      </c>
      <c r="H899" s="4" t="s">
        <v>11</v>
      </c>
    </row>
    <row r="900" spans="1:8" x14ac:dyDescent="0.2">
      <c r="A900" s="4" t="str">
        <f>"08.712/001/2025"</f>
        <v>08.712/001/2025</v>
      </c>
      <c r="B900" s="4" t="str">
        <f>"Aufbau der Landesverwaltung NRW"</f>
        <v>Aufbau der Landesverwaltung NRW</v>
      </c>
      <c r="C900" s="5">
        <v>45932</v>
      </c>
      <c r="D900" s="5">
        <v>45932</v>
      </c>
      <c r="E900" s="4" t="str">
        <f>"1 Tag "</f>
        <v xml:space="preserve">1 Tag </v>
      </c>
      <c r="F900" s="6">
        <v>190</v>
      </c>
      <c r="G900" s="4" t="str">
        <f t="shared" si="74"/>
        <v>Fachbezogenes Seminar</v>
      </c>
      <c r="H900" s="4" t="s">
        <v>11</v>
      </c>
    </row>
    <row r="901" spans="1:8" x14ac:dyDescent="0.2">
      <c r="A901" s="4" t="str">
        <f>"08.714/001/2025"</f>
        <v>08.714/001/2025</v>
      </c>
      <c r="B901" s="4" t="str">
        <f>"Auffrischung im Allgemeinen Verwaltungsrecht"</f>
        <v>Auffrischung im Allgemeinen Verwaltungsrecht</v>
      </c>
      <c r="C901" s="5">
        <v>45700</v>
      </c>
      <c r="D901" s="5">
        <v>45701</v>
      </c>
      <c r="E901" s="4" t="str">
        <f>"2 Tage"</f>
        <v>2 Tage</v>
      </c>
      <c r="F901" s="6">
        <v>430</v>
      </c>
      <c r="G901" s="4" t="str">
        <f t="shared" si="74"/>
        <v>Fachbezogenes Seminar</v>
      </c>
      <c r="H901" s="4" t="s">
        <v>11</v>
      </c>
    </row>
    <row r="902" spans="1:8" x14ac:dyDescent="0.2">
      <c r="A902" s="4" t="str">
        <f>"08.714/002/2025"</f>
        <v>08.714/002/2025</v>
      </c>
      <c r="B902" s="4" t="str">
        <f>"Auffrischung im Allgemeinen Verwaltungsrecht"</f>
        <v>Auffrischung im Allgemeinen Verwaltungsrecht</v>
      </c>
      <c r="C902" s="5">
        <v>45897</v>
      </c>
      <c r="D902" s="5">
        <v>45898</v>
      </c>
      <c r="E902" s="4" t="str">
        <f>"2 Tage"</f>
        <v>2 Tage</v>
      </c>
      <c r="F902" s="6">
        <v>430</v>
      </c>
      <c r="G902" s="4" t="str">
        <f t="shared" si="74"/>
        <v>Fachbezogenes Seminar</v>
      </c>
      <c r="H902" s="4" t="s">
        <v>11</v>
      </c>
    </row>
    <row r="903" spans="1:8" x14ac:dyDescent="0.2">
      <c r="A903" s="4" t="str">
        <f>"08.716/001/2025"</f>
        <v>08.716/001/2025</v>
      </c>
      <c r="B903" s="4" t="str">
        <f>"Grundlagen der Verwaltungsarbeit - neu in der Vorgangsbearbeitung"</f>
        <v>Grundlagen der Verwaltungsarbeit - neu in der Vorgangsbearbeitung</v>
      </c>
      <c r="C903" s="5">
        <v>45994</v>
      </c>
      <c r="D903" s="5">
        <v>45995</v>
      </c>
      <c r="E903" s="4" t="str">
        <f>"2 Tage"</f>
        <v>2 Tage</v>
      </c>
      <c r="F903" s="6">
        <v>430</v>
      </c>
      <c r="G903" s="4" t="str">
        <f>"Fachübergreifendes Seminar"</f>
        <v>Fachübergreifendes Seminar</v>
      </c>
      <c r="H903" s="4" t="s">
        <v>11</v>
      </c>
    </row>
    <row r="904" spans="1:8" x14ac:dyDescent="0.2">
      <c r="A904" s="4" t="str">
        <f>"08.718/001/2025"</f>
        <v>08.718/001/2025</v>
      </c>
      <c r="B904" s="4" t="str">
        <f>"Grundlagen des Verwaltungshandelns und der Verwaltungsarbeit"</f>
        <v>Grundlagen des Verwaltungshandelns und der Verwaltungsarbeit</v>
      </c>
      <c r="C904" s="5">
        <v>45755</v>
      </c>
      <c r="D904" s="5">
        <v>45756</v>
      </c>
      <c r="E904" s="4" t="str">
        <f>"2 Tage"</f>
        <v>2 Tage</v>
      </c>
      <c r="F904" s="6">
        <v>430</v>
      </c>
      <c r="G904" s="4" t="str">
        <f t="shared" ref="G904:G913" si="75">"Fachbezogenes Seminar"</f>
        <v>Fachbezogenes Seminar</v>
      </c>
      <c r="H904" s="4" t="s">
        <v>11</v>
      </c>
    </row>
    <row r="905" spans="1:8" x14ac:dyDescent="0.2">
      <c r="A905" s="4" t="str">
        <f>"08.718/002/2025"</f>
        <v>08.718/002/2025</v>
      </c>
      <c r="B905" s="4" t="str">
        <f>"Grundlagen des Verwaltungshandelns und der Verwaltungsarbeit"</f>
        <v>Grundlagen des Verwaltungshandelns und der Verwaltungsarbeit</v>
      </c>
      <c r="C905" s="5">
        <v>45995</v>
      </c>
      <c r="D905" s="5">
        <v>45996</v>
      </c>
      <c r="E905" s="4" t="str">
        <f>"2 Tage"</f>
        <v>2 Tage</v>
      </c>
      <c r="F905" s="6">
        <v>430</v>
      </c>
      <c r="G905" s="4" t="str">
        <f t="shared" si="75"/>
        <v>Fachbezogenes Seminar</v>
      </c>
      <c r="H905" s="4" t="s">
        <v>11</v>
      </c>
    </row>
    <row r="906" spans="1:8" x14ac:dyDescent="0.2">
      <c r="A906" s="4" t="str">
        <f>"08.720/001/2025"</f>
        <v>08.720/001/2025</v>
      </c>
      <c r="B906" s="4" t="str">
        <f>"Korruptionsprävention"</f>
        <v>Korruptionsprävention</v>
      </c>
      <c r="C906" s="5">
        <v>45821</v>
      </c>
      <c r="D906" s="5">
        <v>45821</v>
      </c>
      <c r="E906" s="4" t="str">
        <f>"1 Tag"</f>
        <v>1 Tag</v>
      </c>
      <c r="F906" s="6">
        <v>190</v>
      </c>
      <c r="G906" s="4" t="str">
        <f t="shared" si="75"/>
        <v>Fachbezogenes Seminar</v>
      </c>
      <c r="H906" s="4" t="s">
        <v>11</v>
      </c>
    </row>
    <row r="907" spans="1:8" x14ac:dyDescent="0.2">
      <c r="A907" s="4" t="str">
        <f>"08.724/001/2025"</f>
        <v>08.724/001/2025</v>
      </c>
      <c r="B907" s="4" t="str">
        <f>"Korruptionsprävention als Organisationsaufgabe"</f>
        <v>Korruptionsprävention als Organisationsaufgabe</v>
      </c>
      <c r="C907" s="5">
        <v>45971</v>
      </c>
      <c r="D907" s="5">
        <v>45971</v>
      </c>
      <c r="E907" s="4" t="str">
        <f>"1 Tag"</f>
        <v>1 Tag</v>
      </c>
      <c r="F907" s="6">
        <v>190</v>
      </c>
      <c r="G907" s="4" t="str">
        <f t="shared" si="75"/>
        <v>Fachbezogenes Seminar</v>
      </c>
      <c r="H907" s="4" t="s">
        <v>11</v>
      </c>
    </row>
    <row r="908" spans="1:8" x14ac:dyDescent="0.2">
      <c r="A908" s="4" t="str">
        <f>"08.726/001/2025"</f>
        <v>08.726/001/2025</v>
      </c>
      <c r="B908" s="4" t="str">
        <f>"Korruptionsprävention im Vergaberecht"</f>
        <v>Korruptionsprävention im Vergaberecht</v>
      </c>
      <c r="C908" s="5">
        <v>45720</v>
      </c>
      <c r="D908" s="5">
        <v>45720</v>
      </c>
      <c r="E908" s="4" t="str">
        <f>"1 Tag"</f>
        <v>1 Tag</v>
      </c>
      <c r="F908" s="6">
        <v>290</v>
      </c>
      <c r="G908" s="4" t="str">
        <f t="shared" si="75"/>
        <v>Fachbezogenes Seminar</v>
      </c>
      <c r="H908" s="4" t="s">
        <v>11</v>
      </c>
    </row>
    <row r="909" spans="1:8" x14ac:dyDescent="0.2">
      <c r="A909" s="4" t="str">
        <f>"08.726/002/2025"</f>
        <v>08.726/002/2025</v>
      </c>
      <c r="B909" s="4" t="str">
        <f>"Korruptionsprävention im Vergaberecht"</f>
        <v>Korruptionsprävention im Vergaberecht</v>
      </c>
      <c r="C909" s="5">
        <v>45932</v>
      </c>
      <c r="D909" s="5">
        <v>45932</v>
      </c>
      <c r="E909" s="4" t="str">
        <f>"1 Tag"</f>
        <v>1 Tag</v>
      </c>
      <c r="F909" s="6">
        <v>290</v>
      </c>
      <c r="G909" s="4" t="str">
        <f t="shared" si="75"/>
        <v>Fachbezogenes Seminar</v>
      </c>
      <c r="H909" s="4" t="s">
        <v>11</v>
      </c>
    </row>
    <row r="910" spans="1:8" x14ac:dyDescent="0.2">
      <c r="A910" s="4" t="str">
        <f>"08.732/001/2025"</f>
        <v>08.732/001/2025</v>
      </c>
      <c r="B910" s="4" t="str">
        <f>"Ordnungswidrigkeitenrecht - Grundlagen"</f>
        <v>Ordnungswidrigkeitenrecht - Grundlagen</v>
      </c>
      <c r="C910" s="5">
        <v>45679</v>
      </c>
      <c r="D910" s="5">
        <v>45681</v>
      </c>
      <c r="E910" s="4" t="str">
        <f>"3 Tage"</f>
        <v>3 Tage</v>
      </c>
      <c r="F910" s="6">
        <v>670</v>
      </c>
      <c r="G910" s="4" t="str">
        <f t="shared" si="75"/>
        <v>Fachbezogenes Seminar</v>
      </c>
      <c r="H910" s="4" t="s">
        <v>11</v>
      </c>
    </row>
    <row r="911" spans="1:8" x14ac:dyDescent="0.2">
      <c r="A911" s="4" t="str">
        <f>"08.732/002/2025"</f>
        <v>08.732/002/2025</v>
      </c>
      <c r="B911" s="4" t="str">
        <f>"Ordnungswidrigkeitenrecht - Grundlagen"</f>
        <v>Ordnungswidrigkeitenrecht - Grundlagen</v>
      </c>
      <c r="C911" s="5">
        <v>45812</v>
      </c>
      <c r="D911" s="5">
        <v>45814</v>
      </c>
      <c r="E911" s="4" t="str">
        <f>"3 Tage"</f>
        <v>3 Tage</v>
      </c>
      <c r="F911" s="6">
        <v>670</v>
      </c>
      <c r="G911" s="4" t="str">
        <f t="shared" si="75"/>
        <v>Fachbezogenes Seminar</v>
      </c>
      <c r="H911" s="4" t="s">
        <v>11</v>
      </c>
    </row>
    <row r="912" spans="1:8" x14ac:dyDescent="0.2">
      <c r="A912" s="4" t="str">
        <f>"08.740/001/2025"</f>
        <v>08.740/001/2025</v>
      </c>
      <c r="B912" s="4" t="str">
        <f>"Planfeststellungsverfahren - Anspruch an und Herausforderung für das behördliche Handeln"</f>
        <v>Planfeststellungsverfahren - Anspruch an und Herausforderung für das behördliche Handeln</v>
      </c>
      <c r="C912" s="5">
        <v>45756</v>
      </c>
      <c r="D912" s="5">
        <v>45758</v>
      </c>
      <c r="E912" s="4" t="str">
        <f>"3 Tage"</f>
        <v>3 Tage</v>
      </c>
      <c r="F912" s="6">
        <v>980</v>
      </c>
      <c r="G912" s="4" t="str">
        <f t="shared" si="75"/>
        <v>Fachbezogenes Seminar</v>
      </c>
      <c r="H912" s="4" t="s">
        <v>11</v>
      </c>
    </row>
    <row r="913" spans="1:8" x14ac:dyDescent="0.2">
      <c r="A913" s="4" t="str">
        <f>"08.740/002/2025"</f>
        <v>08.740/002/2025</v>
      </c>
      <c r="B913" s="4" t="str">
        <f>"Planfeststellungsverfahren - Anspruch an und Herausforderung für das behördliche Handeln"</f>
        <v>Planfeststellungsverfahren - Anspruch an und Herausforderung für das behördliche Handeln</v>
      </c>
      <c r="C913" s="5">
        <v>45924</v>
      </c>
      <c r="D913" s="5">
        <v>45926</v>
      </c>
      <c r="E913" s="4" t="str">
        <f>"3 Tage"</f>
        <v>3 Tage</v>
      </c>
      <c r="F913" s="6">
        <v>980</v>
      </c>
      <c r="G913" s="4" t="str">
        <f t="shared" si="75"/>
        <v>Fachbezogenes Seminar</v>
      </c>
      <c r="H913" s="4" t="s">
        <v>11</v>
      </c>
    </row>
    <row r="914" spans="1:8" x14ac:dyDescent="0.2">
      <c r="A914" s="4" t="str">
        <f>"08.742/001/2025"</f>
        <v>08.742/001/2025</v>
      </c>
      <c r="B914" s="4" t="str">
        <f>"Durchführung von Erörterungsterminen"</f>
        <v>Durchführung von Erörterungsterminen</v>
      </c>
      <c r="C914" s="5">
        <v>45789</v>
      </c>
      <c r="D914" s="5">
        <v>45791</v>
      </c>
      <c r="E914" s="4" t="str">
        <f>"3 Tage"</f>
        <v>3 Tage</v>
      </c>
      <c r="F914" s="6">
        <v>980</v>
      </c>
      <c r="G914" s="4" t="s">
        <v>14</v>
      </c>
      <c r="H914" s="4" t="s">
        <v>11</v>
      </c>
    </row>
    <row r="915" spans="1:8" x14ac:dyDescent="0.2">
      <c r="A915" s="4" t="str">
        <f>"08.743/001/2025"</f>
        <v>08.743/001/2025</v>
      </c>
      <c r="B915" s="4" t="str">
        <f>"Planungs- und Umweltverfahrensrecht - Grundlagen"</f>
        <v>Planungs- und Umweltverfahrensrecht - Grundlagen</v>
      </c>
      <c r="C915" s="5">
        <v>45785</v>
      </c>
      <c r="D915" s="5">
        <v>45786</v>
      </c>
      <c r="E915" s="4" t="str">
        <f>"2 Tage"</f>
        <v>2 Tage</v>
      </c>
      <c r="F915" s="6">
        <v>430</v>
      </c>
      <c r="G915" s="4" t="str">
        <f>"Fachbezogenes Seminar"</f>
        <v>Fachbezogenes Seminar</v>
      </c>
      <c r="H915" s="4" t="s">
        <v>11</v>
      </c>
    </row>
    <row r="916" spans="1:8" x14ac:dyDescent="0.2">
      <c r="A916" s="4" t="str">
        <f>"08.750/001/2025"</f>
        <v>08.750/001/2025</v>
      </c>
      <c r="B916" s="4" t="str">
        <f>"Erstellung von Gesetzen, Verordnungen und Verwaltungsvorschriften"</f>
        <v>Erstellung von Gesetzen, Verordnungen und Verwaltungsvorschriften</v>
      </c>
      <c r="C916" s="5">
        <v>45804</v>
      </c>
      <c r="D916" s="5">
        <v>45853</v>
      </c>
      <c r="E916" s="4" t="str">
        <f>"2x2 Tage"</f>
        <v>2x2 Tage</v>
      </c>
      <c r="F916" s="6">
        <v>1510</v>
      </c>
      <c r="G916" s="4"/>
      <c r="H916" s="4" t="s">
        <v>11</v>
      </c>
    </row>
    <row r="917" spans="1:8" x14ac:dyDescent="0.2">
      <c r="A917" s="4" t="str">
        <f>"08.750/001 a/2025"</f>
        <v>08.750/001 a/2025</v>
      </c>
      <c r="B917" s="4" t="str">
        <f>"Erstellung von Gesetzen, Verordnungen und Verwaltungsvorschriften "</f>
        <v xml:space="preserve">Erstellung von Gesetzen, Verordnungen und Verwaltungsvorschriften </v>
      </c>
      <c r="C917" s="5">
        <v>45804</v>
      </c>
      <c r="D917" s="5">
        <v>45805</v>
      </c>
      <c r="E917" s="4"/>
      <c r="F917" s="6" t="s">
        <v>11</v>
      </c>
      <c r="G917" s="4" t="s">
        <v>14</v>
      </c>
      <c r="H917" s="4" t="s">
        <v>11</v>
      </c>
    </row>
    <row r="918" spans="1:8" x14ac:dyDescent="0.2">
      <c r="A918" s="4" t="str">
        <f>"08.750/001 b/2025"</f>
        <v>08.750/001 b/2025</v>
      </c>
      <c r="B918" s="4" t="str">
        <f>"Erstellung von Gesetzen, Verordnungen und Verwaltungsvorschriften "</f>
        <v xml:space="preserve">Erstellung von Gesetzen, Verordnungen und Verwaltungsvorschriften </v>
      </c>
      <c r="C918" s="5">
        <v>45852</v>
      </c>
      <c r="D918" s="5">
        <v>45853</v>
      </c>
      <c r="E918" s="4"/>
      <c r="F918" s="6" t="s">
        <v>11</v>
      </c>
      <c r="G918" s="4" t="s">
        <v>14</v>
      </c>
      <c r="H918" s="4" t="s">
        <v>11</v>
      </c>
    </row>
    <row r="919" spans="1:8" x14ac:dyDescent="0.2">
      <c r="A919" s="4" t="str">
        <f>"08.760/001/2025"</f>
        <v>08.760/001/2025</v>
      </c>
      <c r="B919" s="4" t="str">
        <f>"Datenschutzrecht NRW - Grundlagen"</f>
        <v>Datenschutzrecht NRW - Grundlagen</v>
      </c>
      <c r="C919" s="5">
        <v>45775</v>
      </c>
      <c r="D919" s="5">
        <v>45776</v>
      </c>
      <c r="E919" s="4" t="str">
        <f>"2 Tage"</f>
        <v>2 Tage</v>
      </c>
      <c r="F919" s="6">
        <v>430</v>
      </c>
      <c r="G919" s="4" t="str">
        <f t="shared" ref="G919:G926" si="76">"Fachbezogenes Seminar"</f>
        <v>Fachbezogenes Seminar</v>
      </c>
      <c r="H919" s="4" t="s">
        <v>11</v>
      </c>
    </row>
    <row r="920" spans="1:8" x14ac:dyDescent="0.2">
      <c r="A920" s="4" t="str">
        <f>"08.760/002/2025"</f>
        <v>08.760/002/2025</v>
      </c>
      <c r="B920" s="4" t="str">
        <f>"Datenschutzrecht NRW - Grundlagen"</f>
        <v>Datenschutzrecht NRW - Grundlagen</v>
      </c>
      <c r="C920" s="5">
        <v>45943</v>
      </c>
      <c r="D920" s="5">
        <v>45944</v>
      </c>
      <c r="E920" s="4" t="str">
        <f>"2 Tage"</f>
        <v>2 Tage</v>
      </c>
      <c r="F920" s="6">
        <v>430</v>
      </c>
      <c r="G920" s="4" t="str">
        <f t="shared" si="76"/>
        <v>Fachbezogenes Seminar</v>
      </c>
      <c r="H920" s="4" t="s">
        <v>11</v>
      </c>
    </row>
    <row r="921" spans="1:8" x14ac:dyDescent="0.2">
      <c r="A921" s="4" t="str">
        <f>"08.762/001/2025"</f>
        <v>08.762/001/2025</v>
      </c>
      <c r="B921" s="4" t="str">
        <f>"Informationsfreiheitsgesetz NRW (IFG) und Umweltinformationsgesetz (UIG)"</f>
        <v>Informationsfreiheitsgesetz NRW (IFG) und Umweltinformationsgesetz (UIG)</v>
      </c>
      <c r="C921" s="5">
        <v>45824</v>
      </c>
      <c r="D921" s="5">
        <v>45824</v>
      </c>
      <c r="E921" s="4" t="str">
        <f>"1 Tag"</f>
        <v>1 Tag</v>
      </c>
      <c r="F921" s="6">
        <v>190</v>
      </c>
      <c r="G921" s="4" t="str">
        <f t="shared" si="76"/>
        <v>Fachbezogenes Seminar</v>
      </c>
      <c r="H921" s="4" t="s">
        <v>11</v>
      </c>
    </row>
    <row r="922" spans="1:8" x14ac:dyDescent="0.2">
      <c r="A922" s="4" t="str">
        <f>"08.764/001/2025"</f>
        <v>08.764/001/2025</v>
      </c>
      <c r="B922" s="4" t="str">
        <f>"Datenschutzrecht und IT-Sicherheit - Vertiefungsworkshop"</f>
        <v>Datenschutzrecht und IT-Sicherheit - Vertiefungsworkshop</v>
      </c>
      <c r="C922" s="5">
        <v>45743</v>
      </c>
      <c r="D922" s="5">
        <v>45744</v>
      </c>
      <c r="E922" s="4" t="str">
        <f>"2 Tage"</f>
        <v>2 Tage</v>
      </c>
      <c r="F922" s="6">
        <v>760</v>
      </c>
      <c r="G922" s="4" t="str">
        <f t="shared" si="76"/>
        <v>Fachbezogenes Seminar</v>
      </c>
      <c r="H922" s="4" t="s">
        <v>11</v>
      </c>
    </row>
    <row r="923" spans="1:8" x14ac:dyDescent="0.2">
      <c r="A923" s="4" t="str">
        <f>"08.764/002/2025"</f>
        <v>08.764/002/2025</v>
      </c>
      <c r="B923" s="4" t="str">
        <f>"Datenschutzrecht und IT-Sicherheit - Vertiefungsworkshop"</f>
        <v>Datenschutzrecht und IT-Sicherheit - Vertiefungsworkshop</v>
      </c>
      <c r="C923" s="5">
        <v>45859</v>
      </c>
      <c r="D923" s="5">
        <v>45860</v>
      </c>
      <c r="E923" s="4" t="str">
        <f>"2 Tage"</f>
        <v>2 Tage</v>
      </c>
      <c r="F923" s="6">
        <v>760</v>
      </c>
      <c r="G923" s="4" t="str">
        <f t="shared" si="76"/>
        <v>Fachbezogenes Seminar</v>
      </c>
      <c r="H923" s="4" t="s">
        <v>11</v>
      </c>
    </row>
    <row r="924" spans="1:8" x14ac:dyDescent="0.2">
      <c r="A924" s="4" t="str">
        <f>"08.766/001/2025"</f>
        <v>08.766/001/2025</v>
      </c>
      <c r="B924" s="4" t="str">
        <f>"Datenschutzrecht NRW - Workshop"</f>
        <v>Datenschutzrecht NRW - Workshop</v>
      </c>
      <c r="C924" s="5">
        <v>45835</v>
      </c>
      <c r="D924" s="5">
        <v>45835</v>
      </c>
      <c r="E924" s="4" t="str">
        <f>"1 Tag"</f>
        <v>1 Tag</v>
      </c>
      <c r="F924" s="6">
        <v>190</v>
      </c>
      <c r="G924" s="4" t="str">
        <f t="shared" si="76"/>
        <v>Fachbezogenes Seminar</v>
      </c>
      <c r="H924" s="4" t="s">
        <v>11</v>
      </c>
    </row>
    <row r="925" spans="1:8" x14ac:dyDescent="0.2">
      <c r="A925" s="4" t="str">
        <f>"08.770/001/2025"</f>
        <v>08.770/001/2025</v>
      </c>
      <c r="B925" s="4" t="str">
        <f>"Urheberrecht"</f>
        <v>Urheberrecht</v>
      </c>
      <c r="C925" s="5">
        <v>45835</v>
      </c>
      <c r="D925" s="5">
        <v>45835</v>
      </c>
      <c r="E925" s="4" t="str">
        <f>"1 Tag"</f>
        <v>1 Tag</v>
      </c>
      <c r="F925" s="6">
        <v>190</v>
      </c>
      <c r="G925" s="4" t="str">
        <f t="shared" si="76"/>
        <v>Fachbezogenes Seminar</v>
      </c>
      <c r="H925" s="4" t="s">
        <v>11</v>
      </c>
    </row>
    <row r="926" spans="1:8" x14ac:dyDescent="0.2">
      <c r="A926" s="4" t="str">
        <f>"08.772/001/2025"</f>
        <v>08.772/001/2025</v>
      </c>
      <c r="B926" s="4" t="str">
        <f>"Ihr Auftritt vor Gericht - Verhandlungsführung und Prozesstaktik"</f>
        <v>Ihr Auftritt vor Gericht - Verhandlungsführung und Prozesstaktik</v>
      </c>
      <c r="C926" s="5">
        <v>45820</v>
      </c>
      <c r="D926" s="5">
        <v>45821</v>
      </c>
      <c r="E926" s="4" t="str">
        <f>"2 Tage"</f>
        <v>2 Tage</v>
      </c>
      <c r="F926" s="6">
        <v>430</v>
      </c>
      <c r="G926" s="4" t="str">
        <f t="shared" si="76"/>
        <v>Fachbezogenes Seminar</v>
      </c>
      <c r="H926" s="4" t="s">
        <v>11</v>
      </c>
    </row>
    <row r="927" spans="1:8" x14ac:dyDescent="0.2">
      <c r="A927" s="4" t="str">
        <f>"08.778/001/2025"</f>
        <v>08.778/001/2025</v>
      </c>
      <c r="B927" s="4" t="str">
        <f>"Sozialrecht - Grundlagen"</f>
        <v>Sozialrecht - Grundlagen</v>
      </c>
      <c r="C927" s="5">
        <v>45800</v>
      </c>
      <c r="D927" s="5">
        <v>45800</v>
      </c>
      <c r="E927" s="4" t="str">
        <f>"1 Tag"</f>
        <v>1 Tag</v>
      </c>
      <c r="F927" s="6">
        <v>190</v>
      </c>
      <c r="G927" s="4" t="s">
        <v>14</v>
      </c>
      <c r="H927" s="4" t="s">
        <v>11</v>
      </c>
    </row>
    <row r="928" spans="1:8" x14ac:dyDescent="0.2">
      <c r="A928" s="4" t="str">
        <f>"08.784/001/2025"</f>
        <v>08.784/001/2025</v>
      </c>
      <c r="B928" s="4" t="str">
        <f>"Asylrecht"</f>
        <v>Asylrecht</v>
      </c>
      <c r="C928" s="5">
        <v>45785</v>
      </c>
      <c r="D928" s="5">
        <v>45786</v>
      </c>
      <c r="E928" s="4" t="str">
        <f>"2 Tage"</f>
        <v>2 Tage</v>
      </c>
      <c r="F928" s="6">
        <v>430</v>
      </c>
      <c r="G928" s="4" t="str">
        <f t="shared" ref="G928:G932" si="77">"Fachbezogenes Seminar"</f>
        <v>Fachbezogenes Seminar</v>
      </c>
      <c r="H928" s="4" t="s">
        <v>11</v>
      </c>
    </row>
    <row r="929" spans="1:8" x14ac:dyDescent="0.2">
      <c r="A929" s="4" t="str">
        <f>"08.784/002/2025"</f>
        <v>08.784/002/2025</v>
      </c>
      <c r="B929" s="4" t="str">
        <f>"Asylrecht"</f>
        <v>Asylrecht</v>
      </c>
      <c r="C929" s="5">
        <v>45922</v>
      </c>
      <c r="D929" s="5">
        <v>45923</v>
      </c>
      <c r="E929" s="4" t="str">
        <f>"2 Tage"</f>
        <v>2 Tage</v>
      </c>
      <c r="F929" s="6">
        <v>430</v>
      </c>
      <c r="G929" s="4" t="str">
        <f t="shared" si="77"/>
        <v>Fachbezogenes Seminar</v>
      </c>
      <c r="H929" s="4" t="s">
        <v>11</v>
      </c>
    </row>
    <row r="930" spans="1:8" x14ac:dyDescent="0.2">
      <c r="A930" s="4" t="str">
        <f>"08.786/001/2025"</f>
        <v>08.786/001/2025</v>
      </c>
      <c r="B930" s="4" t="str">
        <f>"Neu im Ministerium - ministerielle Arbeitsweisen und Besonderheiten"</f>
        <v>Neu im Ministerium - ministerielle Arbeitsweisen und Besonderheiten</v>
      </c>
      <c r="C930" s="5">
        <v>45769</v>
      </c>
      <c r="D930" s="5">
        <v>45770</v>
      </c>
      <c r="E930" s="4" t="str">
        <f>"2 Tage"</f>
        <v>2 Tage</v>
      </c>
      <c r="F930" s="6">
        <v>630</v>
      </c>
      <c r="G930" s="4" t="str">
        <f t="shared" si="77"/>
        <v>Fachbezogenes Seminar</v>
      </c>
      <c r="H930" s="4" t="s">
        <v>13</v>
      </c>
    </row>
    <row r="931" spans="1:8" x14ac:dyDescent="0.2">
      <c r="A931" s="4" t="str">
        <f>"08.786/002/2025"</f>
        <v>08.786/002/2025</v>
      </c>
      <c r="B931" s="4" t="str">
        <f>"Neu im Ministerium - ministerielle Arbeitsweisen und Besonderheiten"</f>
        <v>Neu im Ministerium - ministerielle Arbeitsweisen und Besonderheiten</v>
      </c>
      <c r="C931" s="5">
        <v>45917</v>
      </c>
      <c r="D931" s="5">
        <v>45918</v>
      </c>
      <c r="E931" s="4" t="str">
        <f>"2 Tage"</f>
        <v>2 Tage</v>
      </c>
      <c r="F931" s="6">
        <v>630</v>
      </c>
      <c r="G931" s="4" t="str">
        <f t="shared" si="77"/>
        <v>Fachbezogenes Seminar</v>
      </c>
      <c r="H931" s="4" t="s">
        <v>13</v>
      </c>
    </row>
    <row r="932" spans="1:8" x14ac:dyDescent="0.2">
      <c r="A932" s="4" t="str">
        <f>"08.788/001/2025"</f>
        <v>08.788/001/2025</v>
      </c>
      <c r="B932" s="4" t="str">
        <f>"Aufgaben, Rechte und Pflichten von Mandatsträgerinnen und -trägern in Aufsichtsgremien von Beteiligungsunternehmen des Landes"</f>
        <v>Aufgaben, Rechte und Pflichten von Mandatsträgerinnen und -trägern in Aufsichtsgremien von Beteiligungsunternehmen des Landes</v>
      </c>
      <c r="C932" s="5">
        <v>45751</v>
      </c>
      <c r="D932" s="5">
        <v>45751</v>
      </c>
      <c r="E932" s="4" t="str">
        <f>"1 Tag"</f>
        <v>1 Tag</v>
      </c>
      <c r="F932" s="6">
        <v>190</v>
      </c>
      <c r="G932" s="4" t="str">
        <f t="shared" si="77"/>
        <v>Fachbezogenes Seminar</v>
      </c>
      <c r="H932" s="4" t="s">
        <v>13</v>
      </c>
    </row>
    <row r="933" spans="1:8" x14ac:dyDescent="0.2">
      <c r="A933" s="4" t="str">
        <f>"08.788/002/2025"</f>
        <v>08.788/002/2025</v>
      </c>
      <c r="B933" s="4" t="str">
        <f>"Aufgaben, Rechte und Pflichten von Mandatsträgerinnen und -trägern in Aufsichtsgremien von Beteiligungsunternehmen des Landes"</f>
        <v>Aufgaben, Rechte und Pflichten von Mandatsträgerinnen und -trägern in Aufsichtsgremien von Beteiligungsunternehmen des Landes</v>
      </c>
      <c r="C933" s="5">
        <v>45912</v>
      </c>
      <c r="D933" s="5">
        <v>45912</v>
      </c>
      <c r="E933" s="4" t="str">
        <f>"1 Tag"</f>
        <v>1 Tag</v>
      </c>
      <c r="F933" s="6">
        <v>190</v>
      </c>
      <c r="G933" s="4" t="s">
        <v>14</v>
      </c>
      <c r="H933" s="4" t="s">
        <v>13</v>
      </c>
    </row>
    <row r="934" spans="1:8" x14ac:dyDescent="0.2">
      <c r="A934" s="4" t="str">
        <f>"08.792/001/2025"</f>
        <v>08.792/001/2025</v>
      </c>
      <c r="B934" s="4" t="str">
        <f>"Veranstaltungsleitung rechtskonform wahrnehmen"</f>
        <v>Veranstaltungsleitung rechtskonform wahrnehmen</v>
      </c>
      <c r="C934" s="5">
        <v>45852</v>
      </c>
      <c r="D934" s="5">
        <v>45854</v>
      </c>
      <c r="E934" s="4" t="str">
        <f>"3 Tage"</f>
        <v>3 Tage</v>
      </c>
      <c r="F934" s="6">
        <v>470</v>
      </c>
      <c r="G934" s="4" t="s">
        <v>14</v>
      </c>
      <c r="H934" s="4" t="s">
        <v>13</v>
      </c>
    </row>
    <row r="935" spans="1:8" x14ac:dyDescent="0.2">
      <c r="A935" s="4" t="str">
        <f>"08.820/001/2025"</f>
        <v>08.820/001/2025</v>
      </c>
      <c r="B935" s="4" t="str">
        <f>"Neu in der Landesverwaltung für LG 2.1"</f>
        <v>Neu in der Landesverwaltung für LG 2.1</v>
      </c>
      <c r="C935" s="5">
        <v>45677</v>
      </c>
      <c r="D935" s="5">
        <v>45842</v>
      </c>
      <c r="E935" s="4" t="s">
        <v>15</v>
      </c>
      <c r="F935" s="6">
        <v>1920</v>
      </c>
      <c r="G935" s="4"/>
      <c r="H935" s="4" t="s">
        <v>13</v>
      </c>
    </row>
    <row r="936" spans="1:8" x14ac:dyDescent="0.2">
      <c r="A936" s="4" t="str">
        <f>"08.820/001 a/2025"</f>
        <v>08.820/001 a/2025</v>
      </c>
      <c r="B936" s="4" t="str">
        <f>"Neu in der Landesverwaltung für LG 2.1 -  Moderne Verwaltung einfach und sicher: Digitale Schriftgutverwaltung und elektronische Aktenführung"</f>
        <v>Neu in der Landesverwaltung für LG 2.1 -  Moderne Verwaltung einfach und sicher: Digitale Schriftgutverwaltung und elektronische Aktenführung</v>
      </c>
      <c r="C936" s="5">
        <v>45677</v>
      </c>
      <c r="D936" s="5">
        <v>45678</v>
      </c>
      <c r="E936" s="4"/>
      <c r="F936" s="6" t="s">
        <v>11</v>
      </c>
      <c r="G936" s="4" t="str">
        <f>"Fachbezogenes Seminar"</f>
        <v>Fachbezogenes Seminar</v>
      </c>
      <c r="H936" s="4" t="s">
        <v>11</v>
      </c>
    </row>
    <row r="937" spans="1:8" x14ac:dyDescent="0.2">
      <c r="A937" s="4" t="str">
        <f>"08.820/001 b/2025"</f>
        <v>08.820/001 b/2025</v>
      </c>
      <c r="B937" s="4" t="str">
        <f>"Neu in der Landesverwaltung für LG 2.1 - Grundlagen des Verwaltungshandelns und der Verwaltungspraxis-Teil I"</f>
        <v>Neu in der Landesverwaltung für LG 2.1 - Grundlagen des Verwaltungshandelns und der Verwaltungspraxis-Teil I</v>
      </c>
      <c r="C937" s="5">
        <v>45712</v>
      </c>
      <c r="D937" s="5">
        <v>45713</v>
      </c>
      <c r="E937" s="4"/>
      <c r="F937" s="6" t="s">
        <v>11</v>
      </c>
      <c r="G937" s="4" t="str">
        <f>"Fachbezogenes Seminar"</f>
        <v>Fachbezogenes Seminar</v>
      </c>
      <c r="H937" s="4" t="s">
        <v>11</v>
      </c>
    </row>
    <row r="938" spans="1:8" x14ac:dyDescent="0.2">
      <c r="A938" s="4" t="str">
        <f>"08.820/001 c/2025"</f>
        <v>08.820/001 c/2025</v>
      </c>
      <c r="B938" s="4" t="str">
        <f>"Neu in der Landesverwaltung für LG 2.1 - Grundlagen des Verwaltungshandelns und der Verwaltungspraxis- Teil II - online"</f>
        <v>Neu in der Landesverwaltung für LG 2.1 - Grundlagen des Verwaltungshandelns und der Verwaltungspraxis- Teil II - online</v>
      </c>
      <c r="C938" s="5">
        <v>45772</v>
      </c>
      <c r="D938" s="5">
        <v>45772</v>
      </c>
      <c r="E938" s="4"/>
      <c r="F938" s="6" t="s">
        <v>11</v>
      </c>
      <c r="G938" s="4" t="str">
        <f>"Fachbezogenes Seminar"</f>
        <v>Fachbezogenes Seminar</v>
      </c>
      <c r="H938" s="4" t="s">
        <v>11</v>
      </c>
    </row>
    <row r="939" spans="1:8" x14ac:dyDescent="0.2">
      <c r="A939" s="4" t="str">
        <f>"08.820/001 d/2025"</f>
        <v>08.820/001 d/2025</v>
      </c>
      <c r="B939" s="4" t="str">
        <f>"Neu in der Landesverwaltung für LG 2.1 - Haushaltsrechtliche und vergaberechtliche Grundlagen"</f>
        <v>Neu in der Landesverwaltung für LG 2.1 - Haushaltsrechtliche und vergaberechtliche Grundlagen</v>
      </c>
      <c r="C939" s="5">
        <v>45840</v>
      </c>
      <c r="D939" s="5">
        <v>45842</v>
      </c>
      <c r="E939" s="4"/>
      <c r="F939" s="6" t="s">
        <v>11</v>
      </c>
      <c r="G939" s="4" t="str">
        <f>"Fachbezogenes Seminar"</f>
        <v>Fachbezogenes Seminar</v>
      </c>
      <c r="H939" s="4" t="s">
        <v>11</v>
      </c>
    </row>
    <row r="940" spans="1:8" x14ac:dyDescent="0.2">
      <c r="A940" s="4" t="str">
        <f>"08.820/002/2025"</f>
        <v>08.820/002/2025</v>
      </c>
      <c r="B940" s="4" t="str">
        <f>"Neu in der Landesverwaltung für LG 2.1"</f>
        <v>Neu in der Landesverwaltung für LG 2.1</v>
      </c>
      <c r="C940" s="5">
        <v>45894</v>
      </c>
      <c r="D940" s="5">
        <v>45994</v>
      </c>
      <c r="E940" s="4" t="s">
        <v>15</v>
      </c>
      <c r="F940" s="6">
        <v>1920</v>
      </c>
      <c r="G940" s="4"/>
      <c r="H940" s="4" t="s">
        <v>13</v>
      </c>
    </row>
    <row r="941" spans="1:8" x14ac:dyDescent="0.2">
      <c r="A941" s="4" t="str">
        <f>"08.820/002 a/2025"</f>
        <v>08.820/002 a/2025</v>
      </c>
      <c r="B941" s="4" t="str">
        <f>"Neu in der Landesverwaltung für LG 2.1 -  Moderne Verwaltung einfach und sicher: Digitale Schriftgutverwaltung und elektronische Aktenführung"</f>
        <v>Neu in der Landesverwaltung für LG 2.1 -  Moderne Verwaltung einfach und sicher: Digitale Schriftgutverwaltung und elektronische Aktenführung</v>
      </c>
      <c r="C941" s="5">
        <v>45894</v>
      </c>
      <c r="D941" s="5">
        <v>45895</v>
      </c>
      <c r="E941" s="4"/>
      <c r="F941" s="6" t="s">
        <v>11</v>
      </c>
      <c r="G941" s="4" t="str">
        <f>"Fachbezogenes Seminar"</f>
        <v>Fachbezogenes Seminar</v>
      </c>
      <c r="H941" s="4" t="s">
        <v>11</v>
      </c>
    </row>
    <row r="942" spans="1:8" x14ac:dyDescent="0.2">
      <c r="A942" s="4" t="str">
        <f>"08.820/002 b/2025"</f>
        <v>08.820/002 b/2025</v>
      </c>
      <c r="B942" s="4" t="str">
        <f>"Neu in der Landesverwaltung für LG 2.1 - Grundlagen des Verwaltungshandelns und der Verwaltungspraxis-Teil I"</f>
        <v>Neu in der Landesverwaltung für LG 2.1 - Grundlagen des Verwaltungshandelns und der Verwaltungspraxis-Teil I</v>
      </c>
      <c r="C942" s="5">
        <v>45936</v>
      </c>
      <c r="D942" s="5">
        <v>45937</v>
      </c>
      <c r="E942" s="4"/>
      <c r="F942" s="6" t="s">
        <v>11</v>
      </c>
      <c r="G942" s="4" t="str">
        <f>"Fachbezogenes Seminar"</f>
        <v>Fachbezogenes Seminar</v>
      </c>
      <c r="H942" s="4" t="s">
        <v>11</v>
      </c>
    </row>
    <row r="943" spans="1:8" x14ac:dyDescent="0.2">
      <c r="A943" s="4" t="str">
        <f>"08.820/002 c/2025"</f>
        <v>08.820/002 c/2025</v>
      </c>
      <c r="B943" s="4" t="str">
        <f>"Neu in der Landesverwaltung für LG 2.1 - Grundlagen des Verwaltungshandelns und der Verwaltungspraxis- Teil II - online"</f>
        <v>Neu in der Landesverwaltung für LG 2.1 - Grundlagen des Verwaltungshandelns und der Verwaltungspraxis- Teil II - online</v>
      </c>
      <c r="C943" s="5">
        <v>45975</v>
      </c>
      <c r="D943" s="5">
        <v>45975</v>
      </c>
      <c r="E943" s="4"/>
      <c r="F943" s="6" t="s">
        <v>11</v>
      </c>
      <c r="G943" s="4" t="str">
        <f>"Fachbezogenes Seminar"</f>
        <v>Fachbezogenes Seminar</v>
      </c>
      <c r="H943" s="4" t="s">
        <v>11</v>
      </c>
    </row>
    <row r="944" spans="1:8" x14ac:dyDescent="0.2">
      <c r="A944" s="4" t="str">
        <f>"08.820/002 d/2025"</f>
        <v>08.820/002 d/2025</v>
      </c>
      <c r="B944" s="4" t="str">
        <f>"Neu in der Landesverwaltung für LG 2.1 - Haushaltsrechtliche und vergaberechtliche Grundlagen"</f>
        <v>Neu in der Landesverwaltung für LG 2.1 - Haushaltsrechtliche und vergaberechtliche Grundlagen</v>
      </c>
      <c r="C944" s="5">
        <v>45992</v>
      </c>
      <c r="D944" s="5">
        <v>45994</v>
      </c>
      <c r="E944" s="4"/>
      <c r="F944" s="6" t="s">
        <v>11</v>
      </c>
      <c r="G944" s="4" t="str">
        <f>"Fachbezogenes Seminar"</f>
        <v>Fachbezogenes Seminar</v>
      </c>
      <c r="H944" s="4" t="s">
        <v>11</v>
      </c>
    </row>
    <row r="945" spans="1:8" x14ac:dyDescent="0.2">
      <c r="A945" s="4" t="str">
        <f>"08.830/001/2025"</f>
        <v>08.830/001/2025</v>
      </c>
      <c r="B945" s="4" t="str">
        <f>"Neu in der Landesverwaltung - eine Seminarreihe für Quereinsteiger in die LG1 der allgemeinen Verwaltung NRW - mit Online-Lernphasen"</f>
        <v>Neu in der Landesverwaltung - eine Seminarreihe für Quereinsteiger in die LG1 der allgemeinen Verwaltung NRW - mit Online-Lernphasen</v>
      </c>
      <c r="C945" s="5">
        <v>45663</v>
      </c>
      <c r="D945" s="5">
        <v>45805</v>
      </c>
      <c r="E945" s="4" t="s">
        <v>16</v>
      </c>
      <c r="F945" s="6">
        <v>3200</v>
      </c>
      <c r="G945" s="4"/>
      <c r="H945" s="4" t="s">
        <v>13</v>
      </c>
    </row>
    <row r="946" spans="1:8" x14ac:dyDescent="0.2">
      <c r="A946" s="4" t="str">
        <f>"08.830/001 a/2025"</f>
        <v>08.830/001 a/2025</v>
      </c>
      <c r="B946" s="4" t="str">
        <f>"Neu in der Landesverwaltung - Aufbau der Landesverwaltung"</f>
        <v>Neu in der Landesverwaltung - Aufbau der Landesverwaltung</v>
      </c>
      <c r="C946" s="5">
        <v>45663</v>
      </c>
      <c r="D946" s="5">
        <v>45667</v>
      </c>
      <c r="E946" s="4"/>
      <c r="F946" s="6" t="s">
        <v>11</v>
      </c>
      <c r="G946" s="4" t="str">
        <f t="shared" ref="G946:G952" si="78">"Fachbezogenes Seminar"</f>
        <v>Fachbezogenes Seminar</v>
      </c>
      <c r="H946" s="4" t="s">
        <v>11</v>
      </c>
    </row>
    <row r="947" spans="1:8" x14ac:dyDescent="0.2">
      <c r="A947" s="4" t="str">
        <f>"08.830/001 b/2025"</f>
        <v>08.830/001 b/2025</v>
      </c>
      <c r="B947" s="4" t="str">
        <f>"Neu in der Landesverwaltung - Aufbau der Landesverwaltung und Lernen lernen "</f>
        <v xml:space="preserve">Neu in der Landesverwaltung - Aufbau der Landesverwaltung und Lernen lernen </v>
      </c>
      <c r="C947" s="5">
        <v>45673</v>
      </c>
      <c r="D947" s="5">
        <v>45674</v>
      </c>
      <c r="E947" s="4"/>
      <c r="F947" s="6" t="s">
        <v>11</v>
      </c>
      <c r="G947" s="4" t="str">
        <f t="shared" si="78"/>
        <v>Fachbezogenes Seminar</v>
      </c>
      <c r="H947" s="4" t="s">
        <v>11</v>
      </c>
    </row>
    <row r="948" spans="1:8" x14ac:dyDescent="0.2">
      <c r="A948" s="4" t="str">
        <f>"08.830/001 c/2025"</f>
        <v>08.830/001 c/2025</v>
      </c>
      <c r="B948" s="4" t="str">
        <f>"Neu in der Landesverwaltung - Selbst- und Zeitmanagement "</f>
        <v xml:space="preserve">Neu in der Landesverwaltung - Selbst- und Zeitmanagement </v>
      </c>
      <c r="C948" s="5">
        <v>45681</v>
      </c>
      <c r="D948" s="5">
        <v>45702</v>
      </c>
      <c r="E948" s="4"/>
      <c r="F948" s="6" t="s">
        <v>11</v>
      </c>
      <c r="G948" s="4" t="str">
        <f t="shared" si="78"/>
        <v>Fachbezogenes Seminar</v>
      </c>
      <c r="H948" s="4" t="s">
        <v>11</v>
      </c>
    </row>
    <row r="949" spans="1:8" x14ac:dyDescent="0.2">
      <c r="A949" s="4" t="str">
        <f>"08.830/001 d/2025"</f>
        <v>08.830/001 d/2025</v>
      </c>
      <c r="B949" s="4" t="str">
        <f>"Neu in der Landesverwaltung - Verwaltungspraxis und Selbst- und Zeitmanagement"</f>
        <v>Neu in der Landesverwaltung - Verwaltungspraxis und Selbst- und Zeitmanagement</v>
      </c>
      <c r="C949" s="5">
        <v>45728</v>
      </c>
      <c r="D949" s="5">
        <v>45730</v>
      </c>
      <c r="E949" s="4"/>
      <c r="F949" s="6" t="s">
        <v>11</v>
      </c>
      <c r="G949" s="4" t="str">
        <f t="shared" si="78"/>
        <v>Fachbezogenes Seminar</v>
      </c>
      <c r="H949" s="4" t="s">
        <v>11</v>
      </c>
    </row>
    <row r="950" spans="1:8" x14ac:dyDescent="0.2">
      <c r="A950" s="4" t="str">
        <f>"08.830/001 e/2025"</f>
        <v>08.830/001 e/2025</v>
      </c>
      <c r="B950" s="4" t="str">
        <f>"Neu in der Landesverwaltung - Haushaltsrechtliche Grundlagen - Blended Learning"</f>
        <v>Neu in der Landesverwaltung - Haushaltsrechtliche Grundlagen - Blended Learning</v>
      </c>
      <c r="C950" s="5">
        <v>45758</v>
      </c>
      <c r="D950" s="5">
        <v>45772</v>
      </c>
      <c r="E950" s="4"/>
      <c r="F950" s="6" t="s">
        <v>11</v>
      </c>
      <c r="G950" s="4" t="str">
        <f t="shared" si="78"/>
        <v>Fachbezogenes Seminar</v>
      </c>
      <c r="H950" s="4" t="s">
        <v>11</v>
      </c>
    </row>
    <row r="951" spans="1:8" x14ac:dyDescent="0.2">
      <c r="A951" s="4" t="str">
        <f>"08.830/001 f/2025"</f>
        <v>08.830/001 f/2025</v>
      </c>
      <c r="B951" s="4" t="str">
        <f>"Neu in der Landesverwaltung - Produkthaushalt EPOS"</f>
        <v>Neu in der Landesverwaltung - Produkthaushalt EPOS</v>
      </c>
      <c r="C951" s="5">
        <v>45803</v>
      </c>
      <c r="D951" s="5">
        <v>45803</v>
      </c>
      <c r="E951" s="4"/>
      <c r="F951" s="6" t="s">
        <v>11</v>
      </c>
      <c r="G951" s="4" t="str">
        <f t="shared" si="78"/>
        <v>Fachbezogenes Seminar</v>
      </c>
      <c r="H951" s="4" t="s">
        <v>11</v>
      </c>
    </row>
    <row r="952" spans="1:8" x14ac:dyDescent="0.2">
      <c r="A952" s="4" t="str">
        <f>"08.830/001 g/2025"</f>
        <v>08.830/001 g/2025</v>
      </c>
      <c r="B952" s="4" t="str">
        <f>"Neu in der Landesverwaltung - Abschlussmodul "</f>
        <v xml:space="preserve">Neu in der Landesverwaltung - Abschlussmodul </v>
      </c>
      <c r="C952" s="5">
        <v>45804</v>
      </c>
      <c r="D952" s="5">
        <v>45805</v>
      </c>
      <c r="E952" s="4"/>
      <c r="F952" s="6" t="s">
        <v>11</v>
      </c>
      <c r="G952" s="4" t="str">
        <f t="shared" si="78"/>
        <v>Fachbezogenes Seminar</v>
      </c>
      <c r="H952" s="4" t="s">
        <v>11</v>
      </c>
    </row>
    <row r="953" spans="1:8" x14ac:dyDescent="0.2">
      <c r="A953" s="4" t="str">
        <f>"08.830/002/2025"</f>
        <v>08.830/002/2025</v>
      </c>
      <c r="B953" s="4" t="str">
        <f>"Neu in der Landesverwaltung - eine Seminarreihe für Quereinsteiger in die LG1 der allgemeinen Verwaltung NRW - mit Online-Lernphasen"</f>
        <v>Neu in der Landesverwaltung - eine Seminarreihe für Quereinsteiger in die LG1 der allgemeinen Verwaltung NRW - mit Online-Lernphasen</v>
      </c>
      <c r="C953" s="5">
        <v>45866</v>
      </c>
      <c r="D953" s="5">
        <v>45975</v>
      </c>
      <c r="E953" s="4" t="s">
        <v>16</v>
      </c>
      <c r="F953" s="6">
        <v>3200</v>
      </c>
      <c r="G953" s="4"/>
      <c r="H953" s="4" t="s">
        <v>13</v>
      </c>
    </row>
    <row r="954" spans="1:8" x14ac:dyDescent="0.2">
      <c r="A954" s="4" t="str">
        <f>"08.830/002 a/2025"</f>
        <v>08.830/002 a/2025</v>
      </c>
      <c r="B954" s="4" t="str">
        <f>"Neu in der Landesverwaltung - Aufbau der Landesverwaltung"</f>
        <v>Neu in der Landesverwaltung - Aufbau der Landesverwaltung</v>
      </c>
      <c r="C954" s="5">
        <v>45866</v>
      </c>
      <c r="D954" s="5">
        <v>45870</v>
      </c>
      <c r="E954" s="4"/>
      <c r="F954" s="6" t="s">
        <v>11</v>
      </c>
      <c r="G954" s="4" t="str">
        <f>"Fachbezogenes Seminar"</f>
        <v>Fachbezogenes Seminar</v>
      </c>
      <c r="H954" s="4" t="s">
        <v>11</v>
      </c>
    </row>
    <row r="955" spans="1:8" x14ac:dyDescent="0.2">
      <c r="A955" s="4" t="str">
        <f>"08.830/002 b/2025"</f>
        <v>08.830/002 b/2025</v>
      </c>
      <c r="B955" s="4" t="str">
        <f>"Neu in der Landesverwaltung - Aufbau der Landesverwaltung und Lernen lernen "</f>
        <v xml:space="preserve">Neu in der Landesverwaltung - Aufbau der Landesverwaltung und Lernen lernen </v>
      </c>
      <c r="C955" s="5">
        <v>45894</v>
      </c>
      <c r="D955" s="5">
        <v>45895</v>
      </c>
      <c r="E955" s="4"/>
      <c r="F955" s="6" t="s">
        <v>11</v>
      </c>
      <c r="G955" s="4" t="str">
        <f>"Fachbezogenes Seminar"</f>
        <v>Fachbezogenes Seminar</v>
      </c>
      <c r="H955" s="4" t="s">
        <v>11</v>
      </c>
    </row>
    <row r="956" spans="1:8" x14ac:dyDescent="0.2">
      <c r="A956" s="4" t="str">
        <f>"08.830/002 c/2025"</f>
        <v>08.830/002 c/2025</v>
      </c>
      <c r="B956" s="4" t="str">
        <f>"Neu in der Landesverwaltung - Selbst- und Zeitmanagement "</f>
        <v xml:space="preserve">Neu in der Landesverwaltung - Selbst- und Zeitmanagement </v>
      </c>
      <c r="C956" s="5">
        <v>45898</v>
      </c>
      <c r="D956" s="5">
        <v>45919</v>
      </c>
      <c r="E956" s="4"/>
      <c r="F956" s="6" t="s">
        <v>11</v>
      </c>
      <c r="G956" s="4" t="str">
        <f>"Fachbezogenes Seminar"</f>
        <v>Fachbezogenes Seminar</v>
      </c>
      <c r="H956" s="4" t="s">
        <v>11</v>
      </c>
    </row>
    <row r="957" spans="1:8" x14ac:dyDescent="0.2">
      <c r="A957" s="4" t="str">
        <f>"08.830/002 d/2025"</f>
        <v>08.830/002 d/2025</v>
      </c>
      <c r="B957" s="4" t="str">
        <f>"Neu in der Landesverwaltung - Verwaltungspraxis und Selbst- und Zeitmanagement"</f>
        <v>Neu in der Landesverwaltung - Verwaltungspraxis und Selbst- und Zeitmanagement</v>
      </c>
      <c r="C957" s="5">
        <v>45924</v>
      </c>
      <c r="D957" s="5">
        <v>45926</v>
      </c>
      <c r="E957" s="4"/>
      <c r="F957" s="6" t="s">
        <v>11</v>
      </c>
      <c r="G957" s="4" t="str">
        <f>"Fachbezogenes Seminar"</f>
        <v>Fachbezogenes Seminar</v>
      </c>
      <c r="H957" s="4" t="s">
        <v>11</v>
      </c>
    </row>
    <row r="958" spans="1:8" x14ac:dyDescent="0.2">
      <c r="A958" s="4" t="str">
        <f>"08.830/002 e/2025"</f>
        <v>08.830/002 e/2025</v>
      </c>
      <c r="B958" s="4" t="str">
        <f>"Neu in der Landesverwaltung - Haushaltsrechtliche Grundlagen - Blended Learning"</f>
        <v>Neu in der Landesverwaltung - Haushaltsrechtliche Grundlagen - Blended Learning</v>
      </c>
      <c r="C958" s="5">
        <v>45952</v>
      </c>
      <c r="D958" s="5">
        <v>45966</v>
      </c>
      <c r="E958" s="4"/>
      <c r="F958" s="6" t="s">
        <v>11</v>
      </c>
      <c r="G958" s="4" t="str">
        <f t="shared" ref="G958:G959" si="79">"Fachbezogenes Seminar"</f>
        <v>Fachbezogenes Seminar</v>
      </c>
      <c r="H958" s="4" t="s">
        <v>11</v>
      </c>
    </row>
    <row r="959" spans="1:8" x14ac:dyDescent="0.2">
      <c r="A959" s="4" t="str">
        <f>"08.830/002 f/2025"</f>
        <v>08.830/002 f/2025</v>
      </c>
      <c r="B959" s="4" t="str">
        <f>"Neu in der Landesverwaltung - Produkthaushalt EPOS"</f>
        <v>Neu in der Landesverwaltung - Produkthaushalt EPOS</v>
      </c>
      <c r="C959" s="5">
        <v>45973</v>
      </c>
      <c r="D959" s="5">
        <v>45973</v>
      </c>
      <c r="E959" s="4"/>
      <c r="F959" s="6" t="s">
        <v>11</v>
      </c>
      <c r="G959" s="4" t="str">
        <f t="shared" si="79"/>
        <v>Fachbezogenes Seminar</v>
      </c>
      <c r="H959" s="4" t="s">
        <v>11</v>
      </c>
    </row>
    <row r="960" spans="1:8" x14ac:dyDescent="0.2">
      <c r="A960" s="4" t="str">
        <f>"08.830/002 g/2025"</f>
        <v>08.830/002 g/2025</v>
      </c>
      <c r="B960" s="4" t="str">
        <f>"Neu in der Landesverwaltung - Abschlussmodul "</f>
        <v xml:space="preserve">Neu in der Landesverwaltung - Abschlussmodul </v>
      </c>
      <c r="C960" s="5">
        <v>45974</v>
      </c>
      <c r="D960" s="5">
        <v>45975</v>
      </c>
      <c r="E960" s="4"/>
      <c r="F960" s="6" t="s">
        <v>11</v>
      </c>
      <c r="G960" s="4" t="str">
        <f>"Fachbezogenes Seminar"</f>
        <v>Fachbezogenes Seminar</v>
      </c>
      <c r="H960" s="4" t="s">
        <v>11</v>
      </c>
    </row>
    <row r="961" spans="1:8" x14ac:dyDescent="0.2">
      <c r="A961" s="4" t="str">
        <f>"09.110/001/2025"</f>
        <v>09.110/001/2025</v>
      </c>
      <c r="B961" s="4" t="str">
        <f t="shared" ref="B961:B970" si="80">"Die Europäische Union - ihre Organe und Entscheidungsprozesse"</f>
        <v>Die Europäische Union - ihre Organe und Entscheidungsprozesse</v>
      </c>
      <c r="C961" s="5">
        <v>45677</v>
      </c>
      <c r="D961" s="5">
        <v>45678</v>
      </c>
      <c r="E961" s="4" t="str">
        <f t="shared" ref="E961:E970" si="81">"2 Tage"</f>
        <v>2 Tage</v>
      </c>
      <c r="F961" s="6">
        <v>630</v>
      </c>
      <c r="G961" s="4" t="str">
        <f t="shared" ref="G961:G970" si="82">"Führungsfortbildung"</f>
        <v>Führungsfortbildung</v>
      </c>
      <c r="H961" s="4" t="s">
        <v>11</v>
      </c>
    </row>
    <row r="962" spans="1:8" x14ac:dyDescent="0.2">
      <c r="A962" s="4" t="str">
        <f>"09.110/002/2025"</f>
        <v>09.110/002/2025</v>
      </c>
      <c r="B962" s="4" t="str">
        <f t="shared" si="80"/>
        <v>Die Europäische Union - ihre Organe und Entscheidungsprozesse</v>
      </c>
      <c r="C962" s="5">
        <v>45729</v>
      </c>
      <c r="D962" s="5">
        <v>45730</v>
      </c>
      <c r="E962" s="4" t="str">
        <f t="shared" si="81"/>
        <v>2 Tage</v>
      </c>
      <c r="F962" s="6">
        <v>630</v>
      </c>
      <c r="G962" s="4" t="str">
        <f t="shared" si="82"/>
        <v>Führungsfortbildung</v>
      </c>
      <c r="H962" s="4" t="s">
        <v>11</v>
      </c>
    </row>
    <row r="963" spans="1:8" x14ac:dyDescent="0.2">
      <c r="A963" s="4" t="str">
        <f>"09.110/003/2025"</f>
        <v>09.110/003/2025</v>
      </c>
      <c r="B963" s="4" t="str">
        <f t="shared" si="80"/>
        <v>Die Europäische Union - ihre Organe und Entscheidungsprozesse</v>
      </c>
      <c r="C963" s="5">
        <v>45727</v>
      </c>
      <c r="D963" s="5">
        <v>45728</v>
      </c>
      <c r="E963" s="4" t="str">
        <f t="shared" si="81"/>
        <v>2 Tage</v>
      </c>
      <c r="F963" s="6">
        <v>630</v>
      </c>
      <c r="G963" s="4" t="str">
        <f t="shared" si="82"/>
        <v>Führungsfortbildung</v>
      </c>
      <c r="H963" s="4" t="s">
        <v>11</v>
      </c>
    </row>
    <row r="964" spans="1:8" x14ac:dyDescent="0.2">
      <c r="A964" s="4" t="str">
        <f>"09.110/004/2025"</f>
        <v>09.110/004/2025</v>
      </c>
      <c r="B964" s="4" t="str">
        <f t="shared" si="80"/>
        <v>Die Europäische Union - ihre Organe und Entscheidungsprozesse</v>
      </c>
      <c r="C964" s="5">
        <v>45757</v>
      </c>
      <c r="D964" s="5">
        <v>45758</v>
      </c>
      <c r="E964" s="4" t="str">
        <f t="shared" si="81"/>
        <v>2 Tage</v>
      </c>
      <c r="F964" s="6">
        <v>630</v>
      </c>
      <c r="G964" s="4" t="str">
        <f t="shared" si="82"/>
        <v>Führungsfortbildung</v>
      </c>
      <c r="H964" s="4" t="s">
        <v>11</v>
      </c>
    </row>
    <row r="965" spans="1:8" x14ac:dyDescent="0.2">
      <c r="A965" s="4" t="str">
        <f>"09.110/005/2025"</f>
        <v>09.110/005/2025</v>
      </c>
      <c r="B965" s="4" t="str">
        <f t="shared" si="80"/>
        <v>Die Europäische Union - ihre Organe und Entscheidungsprozesse</v>
      </c>
      <c r="C965" s="5">
        <v>45813</v>
      </c>
      <c r="D965" s="5">
        <v>45814</v>
      </c>
      <c r="E965" s="4" t="str">
        <f t="shared" si="81"/>
        <v>2 Tage</v>
      </c>
      <c r="F965" s="6">
        <v>630</v>
      </c>
      <c r="G965" s="4" t="str">
        <f t="shared" si="82"/>
        <v>Führungsfortbildung</v>
      </c>
      <c r="H965" s="4" t="s">
        <v>11</v>
      </c>
    </row>
    <row r="966" spans="1:8" x14ac:dyDescent="0.2">
      <c r="A966" s="4" t="str">
        <f>"09.110/006/2025"</f>
        <v>09.110/006/2025</v>
      </c>
      <c r="B966" s="4" t="str">
        <f t="shared" si="80"/>
        <v>Die Europäische Union - ihre Organe und Entscheidungsprozesse</v>
      </c>
      <c r="C966" s="5">
        <v>45918</v>
      </c>
      <c r="D966" s="5">
        <v>45919</v>
      </c>
      <c r="E966" s="4" t="str">
        <f t="shared" si="81"/>
        <v>2 Tage</v>
      </c>
      <c r="F966" s="6">
        <v>630</v>
      </c>
      <c r="G966" s="4" t="str">
        <f t="shared" si="82"/>
        <v>Führungsfortbildung</v>
      </c>
      <c r="H966" s="4" t="s">
        <v>11</v>
      </c>
    </row>
    <row r="967" spans="1:8" x14ac:dyDescent="0.2">
      <c r="A967" s="4" t="str">
        <f>"09.110/007/2025"</f>
        <v>09.110/007/2025</v>
      </c>
      <c r="B967" s="4" t="str">
        <f t="shared" si="80"/>
        <v>Die Europäische Union - ihre Organe und Entscheidungsprozesse</v>
      </c>
      <c r="C967" s="5">
        <v>45939</v>
      </c>
      <c r="D967" s="5">
        <v>45940</v>
      </c>
      <c r="E967" s="4" t="str">
        <f t="shared" si="81"/>
        <v>2 Tage</v>
      </c>
      <c r="F967" s="6">
        <v>630</v>
      </c>
      <c r="G967" s="4" t="str">
        <f t="shared" si="82"/>
        <v>Führungsfortbildung</v>
      </c>
      <c r="H967" s="4" t="s">
        <v>11</v>
      </c>
    </row>
    <row r="968" spans="1:8" x14ac:dyDescent="0.2">
      <c r="A968" s="4" t="str">
        <f>"09.110/008/2025"</f>
        <v>09.110/008/2025</v>
      </c>
      <c r="B968" s="4" t="str">
        <f t="shared" si="80"/>
        <v>Die Europäische Union - ihre Organe und Entscheidungsprozesse</v>
      </c>
      <c r="C968" s="5">
        <v>45960</v>
      </c>
      <c r="D968" s="5">
        <v>45961</v>
      </c>
      <c r="E968" s="4" t="str">
        <f t="shared" si="81"/>
        <v>2 Tage</v>
      </c>
      <c r="F968" s="6">
        <v>630</v>
      </c>
      <c r="G968" s="4" t="str">
        <f t="shared" si="82"/>
        <v>Führungsfortbildung</v>
      </c>
      <c r="H968" s="4" t="s">
        <v>11</v>
      </c>
    </row>
    <row r="969" spans="1:8" x14ac:dyDescent="0.2">
      <c r="A969" s="4" t="str">
        <f>"09.110/009/2025"</f>
        <v>09.110/009/2025</v>
      </c>
      <c r="B969" s="4" t="str">
        <f t="shared" si="80"/>
        <v>Die Europäische Union - ihre Organe und Entscheidungsprozesse</v>
      </c>
      <c r="C969" s="5">
        <v>45978</v>
      </c>
      <c r="D969" s="5">
        <v>45979</v>
      </c>
      <c r="E969" s="4" t="str">
        <f t="shared" si="81"/>
        <v>2 Tage</v>
      </c>
      <c r="F969" s="6">
        <v>630</v>
      </c>
      <c r="G969" s="4" t="str">
        <f t="shared" si="82"/>
        <v>Führungsfortbildung</v>
      </c>
      <c r="H969" s="4" t="s">
        <v>11</v>
      </c>
    </row>
    <row r="970" spans="1:8" x14ac:dyDescent="0.2">
      <c r="A970" s="4" t="str">
        <f>"09.110/010/2025"</f>
        <v>09.110/010/2025</v>
      </c>
      <c r="B970" s="4" t="str">
        <f t="shared" si="80"/>
        <v>Die Europäische Union - ihre Organe und Entscheidungsprozesse</v>
      </c>
      <c r="C970" s="5">
        <v>45995</v>
      </c>
      <c r="D970" s="5">
        <v>45996</v>
      </c>
      <c r="E970" s="4" t="str">
        <f t="shared" si="81"/>
        <v>2 Tage</v>
      </c>
      <c r="F970" s="6">
        <v>630</v>
      </c>
      <c r="G970" s="4" t="str">
        <f t="shared" si="82"/>
        <v>Führungsfortbildung</v>
      </c>
      <c r="H970" s="4" t="s">
        <v>11</v>
      </c>
    </row>
    <row r="971" spans="1:8" x14ac:dyDescent="0.2">
      <c r="A971" s="4" t="str">
        <f>"09.112/001/2025"</f>
        <v>09.112/001/2025</v>
      </c>
      <c r="B971" s="4" t="str">
        <f>"(Ein-) Blick von innen: Akteure in EU-Institutionen, Gesetzgebung und Verhandlungen"</f>
        <v>(Ein-) Blick von innen: Akteure in EU-Institutionen, Gesetzgebung und Verhandlungen</v>
      </c>
      <c r="C971" s="5">
        <v>45803</v>
      </c>
      <c r="D971" s="5">
        <v>45803</v>
      </c>
      <c r="E971" s="4" t="str">
        <f>"1 Tag"</f>
        <v>1 Tag</v>
      </c>
      <c r="F971" s="6">
        <v>190</v>
      </c>
      <c r="G971" s="4" t="str">
        <f t="shared" ref="G971:G977" si="83">"Fachbezogenes Seminar"</f>
        <v>Fachbezogenes Seminar</v>
      </c>
      <c r="H971" s="4" t="s">
        <v>11</v>
      </c>
    </row>
    <row r="972" spans="1:8" x14ac:dyDescent="0.2">
      <c r="A972" s="4" t="str">
        <f>"09.120/001/2025"</f>
        <v>09.120/001/2025</v>
      </c>
      <c r="B972" s="4" t="str">
        <f>"Der Europäische Fonds für regionale Entwicklung"</f>
        <v>Der Europäische Fonds für regionale Entwicklung</v>
      </c>
      <c r="C972" s="5">
        <v>45664</v>
      </c>
      <c r="D972" s="5">
        <v>45665</v>
      </c>
      <c r="E972" s="4" t="str">
        <f>"2 Tage"</f>
        <v>2 Tage</v>
      </c>
      <c r="F972" s="6">
        <v>630</v>
      </c>
      <c r="G972" s="4" t="str">
        <f t="shared" si="83"/>
        <v>Fachbezogenes Seminar</v>
      </c>
      <c r="H972" s="4" t="s">
        <v>11</v>
      </c>
    </row>
    <row r="973" spans="1:8" x14ac:dyDescent="0.2">
      <c r="A973" s="4" t="str">
        <f>"09.120/002/2025"</f>
        <v>09.120/002/2025</v>
      </c>
      <c r="B973" s="4" t="str">
        <f>"Der Europäische Fonds für regionale Entwicklung"</f>
        <v>Der Europäische Fonds für regionale Entwicklung</v>
      </c>
      <c r="C973" s="5">
        <v>45915</v>
      </c>
      <c r="D973" s="5">
        <v>45916</v>
      </c>
      <c r="E973" s="4" t="str">
        <f>"2 Tage"</f>
        <v>2 Tage</v>
      </c>
      <c r="F973" s="6">
        <v>630</v>
      </c>
      <c r="G973" s="4" t="str">
        <f t="shared" si="83"/>
        <v>Fachbezogenes Seminar</v>
      </c>
      <c r="H973" s="4" t="s">
        <v>11</v>
      </c>
    </row>
    <row r="974" spans="1:8" x14ac:dyDescent="0.2">
      <c r="A974" s="4" t="str">
        <f>"09.126/001/2025"</f>
        <v>09.126/001/2025</v>
      </c>
      <c r="B974" s="4" t="str">
        <f>"EU-Förderung und Zuwendungsrecht - Grundlagen"</f>
        <v>EU-Förderung und Zuwendungsrecht - Grundlagen</v>
      </c>
      <c r="C974" s="5">
        <v>45747</v>
      </c>
      <c r="D974" s="5">
        <v>45747</v>
      </c>
      <c r="E974" s="4" t="str">
        <f>"1 Tag"</f>
        <v>1 Tag</v>
      </c>
      <c r="F974" s="6">
        <v>190</v>
      </c>
      <c r="G974" s="4" t="str">
        <f t="shared" si="83"/>
        <v>Fachbezogenes Seminar</v>
      </c>
      <c r="H974" s="4" t="s">
        <v>11</v>
      </c>
    </row>
    <row r="975" spans="1:8" x14ac:dyDescent="0.2">
      <c r="A975" s="4" t="str">
        <f>"09.130/001/2025"</f>
        <v>09.130/001/2025</v>
      </c>
      <c r="B975" s="4" t="str">
        <f>"Europäisches Beihilferecht"</f>
        <v>Europäisches Beihilferecht</v>
      </c>
      <c r="C975" s="5">
        <v>45728</v>
      </c>
      <c r="D975" s="5">
        <v>45730</v>
      </c>
      <c r="E975" s="4" t="str">
        <f>"3 Tage"</f>
        <v>3 Tage</v>
      </c>
      <c r="F975" s="6">
        <v>980</v>
      </c>
      <c r="G975" s="4" t="str">
        <f t="shared" si="83"/>
        <v>Fachbezogenes Seminar</v>
      </c>
      <c r="H975" s="4" t="s">
        <v>11</v>
      </c>
    </row>
    <row r="976" spans="1:8" x14ac:dyDescent="0.2">
      <c r="A976" s="4" t="str">
        <f>"09.130/002/2025"</f>
        <v>09.130/002/2025</v>
      </c>
      <c r="B976" s="4" t="str">
        <f>"Europäisches Beihilferecht"</f>
        <v>Europäisches Beihilferecht</v>
      </c>
      <c r="C976" s="5">
        <v>45999</v>
      </c>
      <c r="D976" s="5">
        <v>46001</v>
      </c>
      <c r="E976" s="4" t="str">
        <f>"3 Tage"</f>
        <v>3 Tage</v>
      </c>
      <c r="F976" s="6">
        <v>980</v>
      </c>
      <c r="G976" s="4" t="str">
        <f t="shared" si="83"/>
        <v>Fachbezogenes Seminar</v>
      </c>
      <c r="H976" s="4" t="s">
        <v>11</v>
      </c>
    </row>
    <row r="977" spans="1:8" x14ac:dyDescent="0.2">
      <c r="A977" s="4" t="str">
        <f>"09.140/001/2025"</f>
        <v>09.140/001/2025</v>
      </c>
      <c r="B977" s="4" t="str">
        <f>"NRW und die Benelux-Länder: Interkulturelle Kommunikation, Politik und Verwaltung, Kultur und Geschichte"</f>
        <v>NRW und die Benelux-Länder: Interkulturelle Kommunikation, Politik und Verwaltung, Kultur und Geschichte</v>
      </c>
      <c r="C977" s="5">
        <v>45980</v>
      </c>
      <c r="D977" s="5">
        <v>45981</v>
      </c>
      <c r="E977" s="4" t="str">
        <f>"2 Tage"</f>
        <v>2 Tage</v>
      </c>
      <c r="F977" s="6">
        <v>720</v>
      </c>
      <c r="G977" s="4" t="str">
        <f t="shared" si="83"/>
        <v>Fachbezogenes Seminar</v>
      </c>
      <c r="H977" s="4" t="s">
        <v>13</v>
      </c>
    </row>
    <row r="978" spans="1:8" x14ac:dyDescent="0.2">
      <c r="A978" s="4" t="str">
        <f>"09.210/001/2025"</f>
        <v>09.210/001/2025</v>
      </c>
      <c r="B978" s="4" t="str">
        <f t="shared" ref="B978:B983" si="84">"Englisch für EU-Kontakte und internationale Zusammenarbeit"</f>
        <v>Englisch für EU-Kontakte und internationale Zusammenarbeit</v>
      </c>
      <c r="C978" s="5">
        <v>45733</v>
      </c>
      <c r="D978" s="5">
        <v>45791</v>
      </c>
      <c r="E978" s="4" t="str">
        <f>"1x5 Tage, 1x3 Tage"</f>
        <v>1x5 Tage, 1x3 Tage</v>
      </c>
      <c r="F978" s="6">
        <v>1030</v>
      </c>
      <c r="G978" s="4"/>
      <c r="H978" s="4" t="s">
        <v>11</v>
      </c>
    </row>
    <row r="979" spans="1:8" x14ac:dyDescent="0.2">
      <c r="A979" s="4" t="str">
        <f>"09.210/001 a/2025"</f>
        <v>09.210/001 a/2025</v>
      </c>
      <c r="B979" s="4" t="str">
        <f t="shared" si="84"/>
        <v>Englisch für EU-Kontakte und internationale Zusammenarbeit</v>
      </c>
      <c r="C979" s="5">
        <v>45733</v>
      </c>
      <c r="D979" s="5">
        <v>45737</v>
      </c>
      <c r="E979" s="4"/>
      <c r="F979" s="6" t="s">
        <v>11</v>
      </c>
      <c r="G979" s="4" t="str">
        <f>"Fachbezogenes Seminar"</f>
        <v>Fachbezogenes Seminar</v>
      </c>
      <c r="H979" s="4" t="s">
        <v>11</v>
      </c>
    </row>
    <row r="980" spans="1:8" x14ac:dyDescent="0.2">
      <c r="A980" s="4" t="str">
        <f>"09.210/001 b/2025"</f>
        <v>09.210/001 b/2025</v>
      </c>
      <c r="B980" s="4" t="str">
        <f t="shared" si="84"/>
        <v>Englisch für EU-Kontakte und internationale Zusammenarbeit</v>
      </c>
      <c r="C980" s="5">
        <v>45789</v>
      </c>
      <c r="D980" s="5">
        <v>45791</v>
      </c>
      <c r="E980" s="4"/>
      <c r="F980" s="6" t="s">
        <v>11</v>
      </c>
      <c r="G980" s="4" t="str">
        <f>"Fachbezogenes Seminar"</f>
        <v>Fachbezogenes Seminar</v>
      </c>
      <c r="H980" s="4" t="s">
        <v>11</v>
      </c>
    </row>
    <row r="981" spans="1:8" x14ac:dyDescent="0.2">
      <c r="A981" s="4" t="str">
        <f>"09.210/002/2025"</f>
        <v>09.210/002/2025</v>
      </c>
      <c r="B981" s="4" t="str">
        <f t="shared" si="84"/>
        <v>Englisch für EU-Kontakte und internationale Zusammenarbeit</v>
      </c>
      <c r="C981" s="5">
        <v>45894</v>
      </c>
      <c r="D981" s="5">
        <v>45954</v>
      </c>
      <c r="E981" s="4" t="str">
        <f>"1x5 Tage, 1x3 Tage"</f>
        <v>1x5 Tage, 1x3 Tage</v>
      </c>
      <c r="F981" s="6">
        <v>1030</v>
      </c>
      <c r="G981" s="4"/>
      <c r="H981" s="4" t="s">
        <v>11</v>
      </c>
    </row>
    <row r="982" spans="1:8" x14ac:dyDescent="0.2">
      <c r="A982" s="4" t="str">
        <f>"09.210/002 a/2025"</f>
        <v>09.210/002 a/2025</v>
      </c>
      <c r="B982" s="4" t="str">
        <f t="shared" si="84"/>
        <v>Englisch für EU-Kontakte und internationale Zusammenarbeit</v>
      </c>
      <c r="C982" s="5">
        <v>45894</v>
      </c>
      <c r="D982" s="5">
        <v>45898</v>
      </c>
      <c r="E982" s="4"/>
      <c r="F982" s="6" t="s">
        <v>11</v>
      </c>
      <c r="G982" s="4" t="str">
        <f>"Fachbezogenes Seminar"</f>
        <v>Fachbezogenes Seminar</v>
      </c>
      <c r="H982" s="4" t="s">
        <v>11</v>
      </c>
    </row>
    <row r="983" spans="1:8" x14ac:dyDescent="0.2">
      <c r="A983" s="4" t="str">
        <f>"09.210/002 b/2025"</f>
        <v>09.210/002 b/2025</v>
      </c>
      <c r="B983" s="4" t="str">
        <f t="shared" si="84"/>
        <v>Englisch für EU-Kontakte und internationale Zusammenarbeit</v>
      </c>
      <c r="C983" s="5">
        <v>45952</v>
      </c>
      <c r="D983" s="5">
        <v>45954</v>
      </c>
      <c r="E983" s="4"/>
      <c r="F983" s="6" t="s">
        <v>11</v>
      </c>
      <c r="G983" s="4" t="str">
        <f>"Fachbezogenes Seminar"</f>
        <v>Fachbezogenes Seminar</v>
      </c>
      <c r="H983" s="4" t="s">
        <v>11</v>
      </c>
    </row>
    <row r="984" spans="1:8" x14ac:dyDescent="0.2">
      <c r="A984" s="4" t="str">
        <f>"09.212/001/2025"</f>
        <v>09.212/001/2025</v>
      </c>
      <c r="B984" s="4" t="str">
        <f>"Englisch - Einstufungstest Bezirksregierung Köln"</f>
        <v>Englisch - Einstufungstest Bezirksregierung Köln</v>
      </c>
      <c r="C984" s="5">
        <v>45664</v>
      </c>
      <c r="D984" s="5">
        <v>45664</v>
      </c>
      <c r="E984" s="4" t="str">
        <f>"2,5 Stunden"</f>
        <v>2,5 Stunden</v>
      </c>
      <c r="F984" s="6">
        <v>0</v>
      </c>
      <c r="G984" s="4" t="s">
        <v>14</v>
      </c>
      <c r="H984" s="4" t="s">
        <v>11</v>
      </c>
    </row>
    <row r="985" spans="1:8" x14ac:dyDescent="0.2">
      <c r="A985" s="4" t="str">
        <f>"09.212/002/2025"</f>
        <v>09.212/002/2025</v>
      </c>
      <c r="B985" s="4" t="str">
        <f>"Englisch - Einstufungstest Bezirksregierung Münster"</f>
        <v>Englisch - Einstufungstest Bezirksregierung Münster</v>
      </c>
      <c r="C985" s="5">
        <v>45672</v>
      </c>
      <c r="D985" s="5">
        <v>45672</v>
      </c>
      <c r="E985" s="4" t="str">
        <f>"2,5 Stunden"</f>
        <v>2,5 Stunden</v>
      </c>
      <c r="F985" s="6">
        <v>0</v>
      </c>
      <c r="G985" s="4" t="s">
        <v>14</v>
      </c>
      <c r="H985" s="4" t="s">
        <v>11</v>
      </c>
    </row>
    <row r="986" spans="1:8" x14ac:dyDescent="0.2">
      <c r="A986" s="4" t="str">
        <f>"09.212/003/2025"</f>
        <v>09.212/003/2025</v>
      </c>
      <c r="B986" s="4" t="str">
        <f>"Englisch - Einstufungstest Bezirksregierung Detmold"</f>
        <v>Englisch - Einstufungstest Bezirksregierung Detmold</v>
      </c>
      <c r="C986" s="5">
        <v>45782</v>
      </c>
      <c r="D986" s="5">
        <v>45782</v>
      </c>
      <c r="E986" s="4" t="str">
        <f>"2,5 Stunden"</f>
        <v>2,5 Stunden</v>
      </c>
      <c r="F986" s="6">
        <v>0</v>
      </c>
      <c r="G986" s="4" t="s">
        <v>14</v>
      </c>
      <c r="H986" s="4" t="s">
        <v>11</v>
      </c>
    </row>
    <row r="987" spans="1:8" x14ac:dyDescent="0.2">
      <c r="A987" s="4" t="str">
        <f>"09.212/004/2025"</f>
        <v>09.212/004/2025</v>
      </c>
      <c r="B987" s="4" t="str">
        <f>"Englisch - Einstufungstest Bezirksregierung Arnsberg"</f>
        <v>Englisch - Einstufungstest Bezirksregierung Arnsberg</v>
      </c>
      <c r="C987" s="5">
        <v>45803</v>
      </c>
      <c r="D987" s="5">
        <v>45803</v>
      </c>
      <c r="E987" s="4" t="str">
        <f>"2,5 Stunden"</f>
        <v>2,5 Stunden</v>
      </c>
      <c r="F987" s="6">
        <v>0</v>
      </c>
      <c r="G987" s="4" t="s">
        <v>14</v>
      </c>
      <c r="H987" s="4" t="s">
        <v>11</v>
      </c>
    </row>
    <row r="988" spans="1:8" x14ac:dyDescent="0.2">
      <c r="A988" s="4" t="str">
        <f>"09.212/005/2025"</f>
        <v>09.212/005/2025</v>
      </c>
      <c r="B988" s="4" t="str">
        <f>"Englisch - Einstufungstest Bezirksregierung Düsseldorf"</f>
        <v>Englisch - Einstufungstest Bezirksregierung Düsseldorf</v>
      </c>
      <c r="C988" s="5">
        <v>45810</v>
      </c>
      <c r="D988" s="5">
        <v>45810</v>
      </c>
      <c r="E988" s="4" t="str">
        <f>"2,5 Stunden"</f>
        <v>2,5 Stunden</v>
      </c>
      <c r="F988" s="6">
        <v>0</v>
      </c>
      <c r="G988" s="4" t="s">
        <v>14</v>
      </c>
      <c r="H988" s="4" t="s">
        <v>11</v>
      </c>
    </row>
    <row r="989" spans="1:8" x14ac:dyDescent="0.2">
      <c r="A989" s="4" t="str">
        <f>"09.330/001/2025"</f>
        <v>09.330/001/2025</v>
      </c>
      <c r="B989" s="4" t="str">
        <f>"Finanzkontrolle Strukturfondsförderung - Grundlagen des Zuwendungsrechts im Kontext der Europäischen Strukturfonds"</f>
        <v>Finanzkontrolle Strukturfondsförderung - Grundlagen des Zuwendungsrechts im Kontext der Europäischen Strukturfonds</v>
      </c>
      <c r="C989" s="5">
        <v>45726</v>
      </c>
      <c r="D989" s="5">
        <v>45727</v>
      </c>
      <c r="E989" s="4" t="str">
        <f>"2 Tage"</f>
        <v>2 Tage</v>
      </c>
      <c r="F989" s="6">
        <v>770</v>
      </c>
      <c r="G989" s="4" t="str">
        <f t="shared" ref="G989:G998" si="85">"Fachbezogenes Seminar"</f>
        <v>Fachbezogenes Seminar</v>
      </c>
      <c r="H989" s="4" t="s">
        <v>13</v>
      </c>
    </row>
    <row r="990" spans="1:8" x14ac:dyDescent="0.2">
      <c r="A990" s="4" t="str">
        <f>"09.332/001/2025"</f>
        <v>09.332/001/2025</v>
      </c>
      <c r="B990" s="4" t="str">
        <f>"Finanzkontrolle Strukturfondsförderung - Systemprüfungen"</f>
        <v>Finanzkontrolle Strukturfondsförderung - Systemprüfungen</v>
      </c>
      <c r="C990" s="5">
        <v>45677</v>
      </c>
      <c r="D990" s="5">
        <v>45679</v>
      </c>
      <c r="E990" s="4" t="str">
        <f>"3 Tage"</f>
        <v>3 Tage</v>
      </c>
      <c r="F990" s="6">
        <v>810</v>
      </c>
      <c r="G990" s="4" t="str">
        <f t="shared" si="85"/>
        <v>Fachbezogenes Seminar</v>
      </c>
      <c r="H990" s="4" t="s">
        <v>13</v>
      </c>
    </row>
    <row r="991" spans="1:8" x14ac:dyDescent="0.2">
      <c r="A991" s="4" t="str">
        <f>"09.334/001/2025"</f>
        <v>09.334/001/2025</v>
      </c>
      <c r="B991" s="4" t="str">
        <f>"Finanzkontrolle Strukturfondsförderung - Vorhabenprüfungen durch die Prüfbehörde"</f>
        <v>Finanzkontrolle Strukturfondsförderung - Vorhabenprüfungen durch die Prüfbehörde</v>
      </c>
      <c r="C991" s="5">
        <v>45763</v>
      </c>
      <c r="D991" s="5">
        <v>45764</v>
      </c>
      <c r="E991" s="4" t="str">
        <f>"2 Tage"</f>
        <v>2 Tage</v>
      </c>
      <c r="F991" s="6">
        <v>570</v>
      </c>
      <c r="G991" s="4" t="str">
        <f t="shared" si="85"/>
        <v>Fachbezogenes Seminar</v>
      </c>
      <c r="H991" s="4" t="s">
        <v>13</v>
      </c>
    </row>
    <row r="992" spans="1:8" x14ac:dyDescent="0.2">
      <c r="A992" s="4" t="str">
        <f>"09.334/002/2025"</f>
        <v>09.334/002/2025</v>
      </c>
      <c r="B992" s="4" t="str">
        <f>"Finanzkontrolle Strukturfondsförderung - Vorhabenprüfungen durch die Prüfbehörde"</f>
        <v>Finanzkontrolle Strukturfondsförderung - Vorhabenprüfungen durch die Prüfbehörde</v>
      </c>
      <c r="C992" s="5">
        <v>45967</v>
      </c>
      <c r="D992" s="5">
        <v>45968</v>
      </c>
      <c r="E992" s="4" t="str">
        <f>"2 Tage"</f>
        <v>2 Tage</v>
      </c>
      <c r="F992" s="6">
        <v>570</v>
      </c>
      <c r="G992" s="4" t="str">
        <f t="shared" si="85"/>
        <v>Fachbezogenes Seminar</v>
      </c>
      <c r="H992" s="4" t="s">
        <v>13</v>
      </c>
    </row>
    <row r="993" spans="1:8" x14ac:dyDescent="0.2">
      <c r="A993" s="4" t="str">
        <f>"09.335/001/2025"</f>
        <v>09.335/001/2025</v>
      </c>
      <c r="B993" s="4" t="str">
        <f>"Finanzkontrolle Strukturfondsförderung - Workshop vertiefende Fragen der Prüfbehörden insbesondere zu Vorhabenprüfungen"</f>
        <v>Finanzkontrolle Strukturfondsförderung - Workshop vertiefende Fragen der Prüfbehörden insbesondere zu Vorhabenprüfungen</v>
      </c>
      <c r="C993" s="5">
        <v>45910</v>
      </c>
      <c r="D993" s="5">
        <v>45911</v>
      </c>
      <c r="E993" s="4" t="str">
        <f>"1,5 Tage"</f>
        <v>1,5 Tage</v>
      </c>
      <c r="F993" s="6">
        <v>770</v>
      </c>
      <c r="G993" s="4" t="str">
        <f t="shared" si="85"/>
        <v>Fachbezogenes Seminar</v>
      </c>
      <c r="H993" s="4" t="s">
        <v>13</v>
      </c>
    </row>
    <row r="994" spans="1:8" x14ac:dyDescent="0.2">
      <c r="A994" s="4" t="str">
        <f>"09.337/001/2025"</f>
        <v>09.337/001/2025</v>
      </c>
      <c r="B994" s="4" t="str">
        <f>"Finanzkontrolle Strukturfondsförderung - Prüfung öffentlicher Auftragsvergaben für Einsteigerinnen und Einsteiger"</f>
        <v>Finanzkontrolle Strukturfondsförderung - Prüfung öffentlicher Auftragsvergaben für Einsteigerinnen und Einsteiger</v>
      </c>
      <c r="C994" s="5">
        <v>45866</v>
      </c>
      <c r="D994" s="5">
        <v>45867</v>
      </c>
      <c r="E994" s="4" t="str">
        <f>"1,5 Tage"</f>
        <v>1,5 Tage</v>
      </c>
      <c r="F994" s="6">
        <v>670</v>
      </c>
      <c r="G994" s="4" t="str">
        <f t="shared" si="85"/>
        <v>Fachbezogenes Seminar</v>
      </c>
      <c r="H994" s="4" t="s">
        <v>13</v>
      </c>
    </row>
    <row r="995" spans="1:8" x14ac:dyDescent="0.2">
      <c r="A995" s="4" t="str">
        <f>"09.339/001/2025"</f>
        <v>09.339/001/2025</v>
      </c>
      <c r="B995" s="4" t="str">
        <f>"Finanzkontrolle Strukturfondsförderung - internationale Prüfungsstandards"</f>
        <v>Finanzkontrolle Strukturfondsförderung - internationale Prüfungsstandards</v>
      </c>
      <c r="C995" s="5">
        <v>45936</v>
      </c>
      <c r="D995" s="5">
        <v>45938</v>
      </c>
      <c r="E995" s="4" t="str">
        <f>"3 Tage"</f>
        <v>3 Tage</v>
      </c>
      <c r="F995" s="6">
        <v>810</v>
      </c>
      <c r="G995" s="4" t="str">
        <f t="shared" si="85"/>
        <v>Fachbezogenes Seminar</v>
      </c>
      <c r="H995" s="4" t="s">
        <v>13</v>
      </c>
    </row>
    <row r="996" spans="1:8" x14ac:dyDescent="0.2">
      <c r="A996" s="4" t="str">
        <f>"09.340/001/2025"</f>
        <v>09.340/001/2025</v>
      </c>
      <c r="B996" s="4" t="str">
        <f>"Finanzkontrolle Strukturfondsförderung - staatliche Beihilfen"</f>
        <v>Finanzkontrolle Strukturfondsförderung - staatliche Beihilfen</v>
      </c>
      <c r="C996" s="5">
        <v>45726</v>
      </c>
      <c r="D996" s="5">
        <v>45728</v>
      </c>
      <c r="E996" s="4" t="str">
        <f>"3 Tage"</f>
        <v>3 Tage</v>
      </c>
      <c r="F996" s="6">
        <v>810</v>
      </c>
      <c r="G996" s="4" t="str">
        <f t="shared" si="85"/>
        <v>Fachbezogenes Seminar</v>
      </c>
      <c r="H996" s="4" t="s">
        <v>13</v>
      </c>
    </row>
    <row r="997" spans="1:8" x14ac:dyDescent="0.2">
      <c r="A997" s="4" t="str">
        <f>"09.340/002/2025"</f>
        <v>09.340/002/2025</v>
      </c>
      <c r="B997" s="4" t="str">
        <f>"Finanzkontrolle Strukturfondsförderung - staatliche Beihilfen"</f>
        <v>Finanzkontrolle Strukturfondsförderung - staatliche Beihilfen</v>
      </c>
      <c r="C997" s="5">
        <v>45985</v>
      </c>
      <c r="D997" s="5">
        <v>45987</v>
      </c>
      <c r="E997" s="4" t="str">
        <f>"3 Tage"</f>
        <v>3 Tage</v>
      </c>
      <c r="F997" s="6">
        <v>810</v>
      </c>
      <c r="G997" s="4" t="str">
        <f t="shared" si="85"/>
        <v>Fachbezogenes Seminar</v>
      </c>
      <c r="H997" s="4" t="s">
        <v>13</v>
      </c>
    </row>
    <row r="998" spans="1:8" x14ac:dyDescent="0.2">
      <c r="A998" s="4" t="str">
        <f>"09.341/001/2025"</f>
        <v>09.341/001/2025</v>
      </c>
      <c r="B998" s="4" t="str">
        <f>"Finanzkontrolle Strukturfondsförderung - Prüfung öffentlicher Auftragsvergaben Vertiefung"</f>
        <v>Finanzkontrolle Strukturfondsförderung - Prüfung öffentlicher Auftragsvergaben Vertiefung</v>
      </c>
      <c r="C998" s="5">
        <v>45978</v>
      </c>
      <c r="D998" s="5">
        <v>45979</v>
      </c>
      <c r="E998" s="4" t="str">
        <f>"1,5 Tage"</f>
        <v>1,5 Tage</v>
      </c>
      <c r="F998" s="6">
        <v>770</v>
      </c>
      <c r="G998" s="4" t="str">
        <f t="shared" si="85"/>
        <v>Fachbezogenes Seminar</v>
      </c>
      <c r="H998" s="4" t="s">
        <v>13</v>
      </c>
    </row>
    <row r="999" spans="1:8" x14ac:dyDescent="0.2">
      <c r="A999" s="4" t="str">
        <f>"09.343/001/2025"</f>
        <v>09.343/001/2025</v>
      </c>
      <c r="B999" s="4" t="str">
        <f>"Finanzkontrolle Strukturfondsförderung - Prüfung der Rechnungslegung und Wiedereinziehungen"</f>
        <v>Finanzkontrolle Strukturfondsförderung - Prüfung der Rechnungslegung und Wiedereinziehungen</v>
      </c>
      <c r="C999" s="5">
        <v>45818</v>
      </c>
      <c r="D999" s="5">
        <v>45819</v>
      </c>
      <c r="E999" s="4" t="str">
        <f>"2 Tage"</f>
        <v>2 Tage</v>
      </c>
      <c r="F999" s="6">
        <v>770</v>
      </c>
      <c r="G999" s="4" t="str">
        <f>"Fachbezogenes Seminar"</f>
        <v>Fachbezogenes Seminar</v>
      </c>
      <c r="H999" s="4" t="s">
        <v>13</v>
      </c>
    </row>
    <row r="1000" spans="1:8" x14ac:dyDescent="0.2">
      <c r="A1000" s="4" t="str">
        <f>"09.345/001/2025"</f>
        <v>09.345/001/2025</v>
      </c>
      <c r="B1000" s="4" t="str">
        <f>"Finanzkontrolle Strukturförderung - vereinfachte Kostenoptionen (VKO)"</f>
        <v>Finanzkontrolle Strukturförderung - vereinfachte Kostenoptionen (VKO)</v>
      </c>
      <c r="C1000" s="5">
        <v>45908</v>
      </c>
      <c r="D1000" s="5">
        <v>45909</v>
      </c>
      <c r="E1000" s="4" t="str">
        <f>"2 Tage"</f>
        <v>2 Tage</v>
      </c>
      <c r="F1000" s="6">
        <v>770</v>
      </c>
      <c r="G1000" s="4" t="str">
        <f>"Fachbezogenes Seminar"</f>
        <v>Fachbezogenes Seminar</v>
      </c>
      <c r="H1000" s="4" t="s">
        <v>13</v>
      </c>
    </row>
    <row r="1001" spans="1:8" x14ac:dyDescent="0.2">
      <c r="A1001" s="4" t="str">
        <f>"10.340/001/2025"</f>
        <v>10.340/001/2025</v>
      </c>
      <c r="B1001" s="4" t="str">
        <f>"Als SAP souverän unterwegs im internen Netzwerk"</f>
        <v>Als SAP souverän unterwegs im internen Netzwerk</v>
      </c>
      <c r="C1001" s="5">
        <v>45741</v>
      </c>
      <c r="D1001" s="5">
        <v>45742</v>
      </c>
      <c r="E1001" s="4" t="str">
        <f>"2 Tage"</f>
        <v>2 Tage</v>
      </c>
      <c r="F1001" s="6">
        <v>430</v>
      </c>
      <c r="G1001" s="4" t="str">
        <f t="shared" ref="G1001:G1022" si="86">"SAP"</f>
        <v>SAP</v>
      </c>
      <c r="H1001" s="4" t="s">
        <v>13</v>
      </c>
    </row>
    <row r="1002" spans="1:8" x14ac:dyDescent="0.2">
      <c r="A1002" s="4" t="str">
        <f>"10.342/001/2025"</f>
        <v>10.342/001/2025</v>
      </c>
      <c r="B1002" s="4" t="str">
        <f>"SAP - Beratung im Konfliktfall"</f>
        <v>SAP - Beratung im Konfliktfall</v>
      </c>
      <c r="C1002" s="5">
        <v>45715</v>
      </c>
      <c r="D1002" s="5">
        <v>45716</v>
      </c>
      <c r="E1002" s="4" t="str">
        <f>"2 Tage"</f>
        <v>2 Tage</v>
      </c>
      <c r="F1002" s="6">
        <v>430</v>
      </c>
      <c r="G1002" s="4" t="str">
        <f t="shared" si="86"/>
        <v>SAP</v>
      </c>
      <c r="H1002" s="4" t="s">
        <v>13</v>
      </c>
    </row>
    <row r="1003" spans="1:8" x14ac:dyDescent="0.2">
      <c r="A1003" s="4" t="str">
        <f>"10.342/002/2025"</f>
        <v>10.342/002/2025</v>
      </c>
      <c r="B1003" s="4" t="str">
        <f>"SAP - Beratung im Konfliktfall"</f>
        <v>SAP - Beratung im Konfliktfall</v>
      </c>
      <c r="C1003" s="5">
        <v>45859</v>
      </c>
      <c r="D1003" s="5">
        <v>45860</v>
      </c>
      <c r="E1003" s="4" t="str">
        <f>"2 Tage"</f>
        <v>2 Tage</v>
      </c>
      <c r="F1003" s="6">
        <v>430</v>
      </c>
      <c r="G1003" s="4" t="str">
        <f t="shared" si="86"/>
        <v>SAP</v>
      </c>
      <c r="H1003" s="4" t="s">
        <v>13</v>
      </c>
    </row>
    <row r="1004" spans="1:8" x14ac:dyDescent="0.2">
      <c r="A1004" s="4" t="str">
        <f>"10.343/001/2025"</f>
        <v>10.343/001/2025</v>
      </c>
      <c r="B1004" s="4" t="str">
        <f>"SAP- Einführung in die telefonische und videogestützte Beratung "</f>
        <v xml:space="preserve">SAP- Einführung in die telefonische und videogestützte Beratung </v>
      </c>
      <c r="C1004" s="5">
        <v>45742</v>
      </c>
      <c r="D1004" s="5">
        <v>45742</v>
      </c>
      <c r="E1004" s="4" t="str">
        <f>"1 Tag"</f>
        <v>1 Tag</v>
      </c>
      <c r="F1004" s="6">
        <v>430</v>
      </c>
      <c r="G1004" s="4" t="str">
        <f t="shared" si="86"/>
        <v>SAP</v>
      </c>
      <c r="H1004" s="4" t="s">
        <v>13</v>
      </c>
    </row>
    <row r="1005" spans="1:8" x14ac:dyDescent="0.2">
      <c r="A1005" s="4" t="str">
        <f>"10.344/001/2025"</f>
        <v>10.344/001/2025</v>
      </c>
      <c r="B1005" s="4" t="str">
        <f>"SAP - Begegnung mit Komplexität in der Beratung"</f>
        <v>SAP - Begegnung mit Komplexität in der Beratung</v>
      </c>
      <c r="C1005" s="5">
        <v>45855</v>
      </c>
      <c r="D1005" s="5">
        <v>45855</v>
      </c>
      <c r="E1005" s="4" t="str">
        <f>"1 Tag"</f>
        <v>1 Tag</v>
      </c>
      <c r="F1005" s="6">
        <v>490</v>
      </c>
      <c r="G1005" s="4" t="str">
        <f t="shared" si="86"/>
        <v>SAP</v>
      </c>
      <c r="H1005" s="4" t="s">
        <v>13</v>
      </c>
    </row>
    <row r="1006" spans="1:8" x14ac:dyDescent="0.2">
      <c r="A1006" s="4" t="str">
        <f>"10.346/001/2025"</f>
        <v>10.346/001/2025</v>
      </c>
      <c r="B1006" s="4" t="str">
        <f>"Methoden der SAP-Beratung: Auffrischung und Erweiterung"</f>
        <v>Methoden der SAP-Beratung: Auffrischung und Erweiterung</v>
      </c>
      <c r="C1006" s="5">
        <v>45803</v>
      </c>
      <c r="D1006" s="5">
        <v>45804</v>
      </c>
      <c r="E1006" s="4" t="str">
        <f>"2 Tage"</f>
        <v>2 Tage</v>
      </c>
      <c r="F1006" s="6">
        <v>490</v>
      </c>
      <c r="G1006" s="4" t="str">
        <f t="shared" si="86"/>
        <v>SAP</v>
      </c>
      <c r="H1006" s="4" t="s">
        <v>13</v>
      </c>
    </row>
    <row r="1007" spans="1:8" x14ac:dyDescent="0.2">
      <c r="A1007" s="4" t="str">
        <f>"10.348/001/2025"</f>
        <v>10.348/001/2025</v>
      </c>
      <c r="B1007" s="4" t="str">
        <f>"SAP - Grundhaltung in der Beratung: Spannungsfeld von Nähe und Distanz"</f>
        <v>SAP - Grundhaltung in der Beratung: Spannungsfeld von Nähe und Distanz</v>
      </c>
      <c r="C1007" s="5">
        <v>45988</v>
      </c>
      <c r="D1007" s="5">
        <v>45989</v>
      </c>
      <c r="E1007" s="4" t="str">
        <f>"2 Tage"</f>
        <v>2 Tage</v>
      </c>
      <c r="F1007" s="6">
        <v>630</v>
      </c>
      <c r="G1007" s="4" t="str">
        <f t="shared" si="86"/>
        <v>SAP</v>
      </c>
      <c r="H1007" s="4" t="s">
        <v>13</v>
      </c>
    </row>
    <row r="1008" spans="1:8" x14ac:dyDescent="0.2">
      <c r="A1008" s="4" t="str">
        <f>"10.370/001/2025"</f>
        <v>10.370/001/2025</v>
      </c>
      <c r="B1008" s="4" t="str">
        <f>"SAP - Beratung und Weitervermittlung bei Überschuldung"</f>
        <v>SAP - Beratung und Weitervermittlung bei Überschuldung</v>
      </c>
      <c r="C1008" s="5">
        <v>45723</v>
      </c>
      <c r="D1008" s="5">
        <v>45723</v>
      </c>
      <c r="E1008" s="4" t="str">
        <f>"1 Tag"</f>
        <v>1 Tag</v>
      </c>
      <c r="F1008" s="6">
        <v>200</v>
      </c>
      <c r="G1008" s="4" t="str">
        <f t="shared" si="86"/>
        <v>SAP</v>
      </c>
      <c r="H1008" s="4" t="s">
        <v>13</v>
      </c>
    </row>
    <row r="1009" spans="1:8" x14ac:dyDescent="0.2">
      <c r="A1009" s="4" t="str">
        <f>"10.380/001/2025"</f>
        <v>10.380/001/2025</v>
      </c>
      <c r="B1009" s="4" t="str">
        <f>"SAP - Beratung und Vermittlung bei Sucht und Abhängigkeitserkrankungen"</f>
        <v>SAP - Beratung und Vermittlung bei Sucht und Abhängigkeitserkrankungen</v>
      </c>
      <c r="C1009" s="5">
        <v>45701</v>
      </c>
      <c r="D1009" s="5">
        <v>45702</v>
      </c>
      <c r="E1009" s="4" t="str">
        <f>"2Tage"</f>
        <v>2Tage</v>
      </c>
      <c r="F1009" s="6">
        <v>490</v>
      </c>
      <c r="G1009" s="4" t="str">
        <f t="shared" si="86"/>
        <v>SAP</v>
      </c>
      <c r="H1009" s="4" t="s">
        <v>13</v>
      </c>
    </row>
    <row r="1010" spans="1:8" x14ac:dyDescent="0.2">
      <c r="A1010" s="4" t="str">
        <f>"10.382/001/2025"</f>
        <v>10.382/001/2025</v>
      </c>
      <c r="B1010" s="4" t="str">
        <f>"SAP- Beratung bei  Depression"</f>
        <v>SAP- Beratung bei  Depression</v>
      </c>
      <c r="C1010" s="5">
        <v>45862</v>
      </c>
      <c r="D1010" s="5">
        <v>45863</v>
      </c>
      <c r="E1010" s="4" t="str">
        <f>"2 Tage "</f>
        <v xml:space="preserve">2 Tage </v>
      </c>
      <c r="F1010" s="6">
        <v>430</v>
      </c>
      <c r="G1010" s="4" t="str">
        <f t="shared" si="86"/>
        <v>SAP</v>
      </c>
      <c r="H1010" s="4" t="s">
        <v>13</v>
      </c>
    </row>
    <row r="1011" spans="1:8" x14ac:dyDescent="0.2">
      <c r="A1011" s="4" t="str">
        <f>"10.384/001/2025"</f>
        <v>10.384/001/2025</v>
      </c>
      <c r="B1011" s="4" t="str">
        <f>"SAP - Beratung bei Burnout-Syndrom"</f>
        <v>SAP - Beratung bei Burnout-Syndrom</v>
      </c>
      <c r="C1011" s="5">
        <v>45715</v>
      </c>
      <c r="D1011" s="5">
        <v>45716</v>
      </c>
      <c r="E1011" s="4" t="str">
        <f>"2 Tage "</f>
        <v xml:space="preserve">2 Tage </v>
      </c>
      <c r="F1011" s="6">
        <v>430</v>
      </c>
      <c r="G1011" s="4" t="str">
        <f t="shared" si="86"/>
        <v>SAP</v>
      </c>
      <c r="H1011" s="4" t="s">
        <v>13</v>
      </c>
    </row>
    <row r="1012" spans="1:8" x14ac:dyDescent="0.2">
      <c r="A1012" s="4" t="str">
        <f>"10.384/002/2025"</f>
        <v>10.384/002/2025</v>
      </c>
      <c r="B1012" s="4" t="str">
        <f>"SAP - Beratung bei Burnout-Syndrom"</f>
        <v>SAP - Beratung bei Burnout-Syndrom</v>
      </c>
      <c r="C1012" s="5">
        <v>45834</v>
      </c>
      <c r="D1012" s="5">
        <v>45835</v>
      </c>
      <c r="E1012" s="4" t="str">
        <f>"2 Tage "</f>
        <v xml:space="preserve">2 Tage </v>
      </c>
      <c r="F1012" s="6">
        <v>430</v>
      </c>
      <c r="G1012" s="4" t="str">
        <f t="shared" si="86"/>
        <v>SAP</v>
      </c>
      <c r="H1012" s="4" t="s">
        <v>13</v>
      </c>
    </row>
    <row r="1013" spans="1:8" x14ac:dyDescent="0.2">
      <c r="A1013" s="4" t="str">
        <f>"10.388/001/2025"</f>
        <v>10.388/001/2025</v>
      </c>
      <c r="B1013" s="4" t="str">
        <f>"SAP - Beratung bei  Angststörungen"</f>
        <v>SAP - Beratung bei  Angststörungen</v>
      </c>
      <c r="C1013" s="5">
        <v>45967</v>
      </c>
      <c r="D1013" s="5">
        <v>45968</v>
      </c>
      <c r="E1013" s="4" t="str">
        <f t="shared" ref="E1013:E1020" si="87">"2 Tage"</f>
        <v>2 Tage</v>
      </c>
      <c r="F1013" s="6">
        <v>430</v>
      </c>
      <c r="G1013" s="4" t="str">
        <f t="shared" si="86"/>
        <v>SAP</v>
      </c>
      <c r="H1013" s="4" t="s">
        <v>13</v>
      </c>
    </row>
    <row r="1014" spans="1:8" x14ac:dyDescent="0.2">
      <c r="A1014" s="4" t="str">
        <f>"10.389/001/2025"</f>
        <v>10.389/001/2025</v>
      </c>
      <c r="B1014" s="4" t="str">
        <f>"SAP - Beratung psychisch belasteter Menschen - Resilienter werden und Krisen meistern"</f>
        <v>SAP - Beratung psychisch belasteter Menschen - Resilienter werden und Krisen meistern</v>
      </c>
      <c r="C1014" s="5">
        <v>45761</v>
      </c>
      <c r="D1014" s="5">
        <v>45762</v>
      </c>
      <c r="E1014" s="4" t="str">
        <f t="shared" si="87"/>
        <v>2 Tage</v>
      </c>
      <c r="F1014" s="6">
        <v>490</v>
      </c>
      <c r="G1014" s="4" t="str">
        <f t="shared" si="86"/>
        <v>SAP</v>
      </c>
      <c r="H1014" s="4" t="s">
        <v>13</v>
      </c>
    </row>
    <row r="1015" spans="1:8" x14ac:dyDescent="0.2">
      <c r="A1015" s="4" t="str">
        <f>"10.389/002/2025"</f>
        <v>10.389/002/2025</v>
      </c>
      <c r="B1015" s="4" t="str">
        <f>"SAP - Beratung psychisch belasteter Menschen - Resilienter werden und Krisen meistern"</f>
        <v>SAP - Beratung psychisch belasteter Menschen - Resilienter werden und Krisen meistern</v>
      </c>
      <c r="C1015" s="5">
        <v>45931</v>
      </c>
      <c r="D1015" s="5">
        <v>45932</v>
      </c>
      <c r="E1015" s="4" t="str">
        <f t="shared" si="87"/>
        <v>2 Tage</v>
      </c>
      <c r="F1015" s="6">
        <v>490</v>
      </c>
      <c r="G1015" s="4" t="str">
        <f t="shared" si="86"/>
        <v>SAP</v>
      </c>
      <c r="H1015" s="4" t="s">
        <v>13</v>
      </c>
    </row>
    <row r="1016" spans="1:8" x14ac:dyDescent="0.2">
      <c r="A1016" s="4" t="str">
        <f>"10.390/001/2025"</f>
        <v>10.390/001/2025</v>
      </c>
      <c r="B1016" s="4" t="str">
        <f>"SAP - Beratung bei suizidalen Krisen"</f>
        <v>SAP - Beratung bei suizidalen Krisen</v>
      </c>
      <c r="C1016" s="5">
        <v>45901</v>
      </c>
      <c r="D1016" s="5">
        <v>45902</v>
      </c>
      <c r="E1016" s="4" t="str">
        <f t="shared" si="87"/>
        <v>2 Tage</v>
      </c>
      <c r="F1016" s="6">
        <v>430</v>
      </c>
      <c r="G1016" s="4" t="str">
        <f t="shared" si="86"/>
        <v>SAP</v>
      </c>
      <c r="H1016" s="4" t="s">
        <v>13</v>
      </c>
    </row>
    <row r="1017" spans="1:8" x14ac:dyDescent="0.2">
      <c r="A1017" s="4" t="str">
        <f>"10.392/001/2025"</f>
        <v>10.392/001/2025</v>
      </c>
      <c r="B1017" s="4" t="str">
        <f>"SAP - Beratung bei traumatischen Erfahrungen"</f>
        <v>SAP - Beratung bei traumatischen Erfahrungen</v>
      </c>
      <c r="C1017" s="5">
        <v>45763</v>
      </c>
      <c r="D1017" s="5">
        <v>45764</v>
      </c>
      <c r="E1017" s="4" t="str">
        <f t="shared" si="87"/>
        <v>2 Tage</v>
      </c>
      <c r="F1017" s="6">
        <v>430</v>
      </c>
      <c r="G1017" s="4" t="str">
        <f t="shared" si="86"/>
        <v>SAP</v>
      </c>
      <c r="H1017" s="4" t="s">
        <v>13</v>
      </c>
    </row>
    <row r="1018" spans="1:8" x14ac:dyDescent="0.2">
      <c r="A1018" s="4" t="str">
        <f>"10.394/001/2025"</f>
        <v>10.394/001/2025</v>
      </c>
      <c r="B1018" s="4" t="str">
        <f>"SAP - Beratung bei Unfall, lebensbedrohlicher Erkrankung, Sterben und Tod"</f>
        <v>SAP - Beratung bei Unfall, lebensbedrohlicher Erkrankung, Sterben und Tod</v>
      </c>
      <c r="C1018" s="5">
        <v>45705</v>
      </c>
      <c r="D1018" s="5">
        <v>45706</v>
      </c>
      <c r="E1018" s="4" t="str">
        <f t="shared" si="87"/>
        <v>2 Tage</v>
      </c>
      <c r="F1018" s="6">
        <v>430</v>
      </c>
      <c r="G1018" s="4" t="str">
        <f t="shared" si="86"/>
        <v>SAP</v>
      </c>
      <c r="H1018" s="4" t="s">
        <v>13</v>
      </c>
    </row>
    <row r="1019" spans="1:8" x14ac:dyDescent="0.2">
      <c r="A1019" s="4" t="str">
        <f>"10.395/002/2025"</f>
        <v>10.395/002/2025</v>
      </c>
      <c r="B1019" s="4" t="str">
        <f>"SAP - Pflege naher Angehöriger"</f>
        <v>SAP - Pflege naher Angehöriger</v>
      </c>
      <c r="C1019" s="5">
        <v>45895</v>
      </c>
      <c r="D1019" s="5">
        <v>45896</v>
      </c>
      <c r="E1019" s="4" t="str">
        <f t="shared" si="87"/>
        <v>2 Tage</v>
      </c>
      <c r="F1019" s="6">
        <v>630</v>
      </c>
      <c r="G1019" s="4" t="str">
        <f t="shared" si="86"/>
        <v>SAP</v>
      </c>
      <c r="H1019" s="4" t="s">
        <v>13</v>
      </c>
    </row>
    <row r="1020" spans="1:8" x14ac:dyDescent="0.2">
      <c r="A1020" s="4" t="str">
        <f>"10.396/001/2025"</f>
        <v>10.396/001/2025</v>
      </c>
      <c r="B1020" s="4" t="str">
        <f>"SAP - Beratung bei familiären Belastungen"</f>
        <v>SAP - Beratung bei familiären Belastungen</v>
      </c>
      <c r="C1020" s="5">
        <v>45967</v>
      </c>
      <c r="D1020" s="5">
        <v>45968</v>
      </c>
      <c r="E1020" s="4" t="str">
        <f t="shared" si="87"/>
        <v>2 Tage</v>
      </c>
      <c r="F1020" s="6">
        <v>560</v>
      </c>
      <c r="G1020" s="4" t="str">
        <f t="shared" si="86"/>
        <v>SAP</v>
      </c>
      <c r="H1020" s="4" t="s">
        <v>13</v>
      </c>
    </row>
    <row r="1021" spans="1:8" x14ac:dyDescent="0.2">
      <c r="A1021" s="4" t="str">
        <f>"10.399/001/2025"</f>
        <v>10.399/001/2025</v>
      </c>
      <c r="B1021" s="4" t="str">
        <f>"SAP - Beratung im Umgang mit sexualisierten Gewalterfahrungen"</f>
        <v>SAP - Beratung im Umgang mit sexualisierten Gewalterfahrungen</v>
      </c>
      <c r="C1021" s="5">
        <v>45945</v>
      </c>
      <c r="D1021" s="5">
        <v>45945</v>
      </c>
      <c r="E1021" s="4" t="str">
        <f>"1 Tag"</f>
        <v>1 Tag</v>
      </c>
      <c r="F1021" s="6">
        <v>190</v>
      </c>
      <c r="G1021" s="4" t="str">
        <f t="shared" si="86"/>
        <v>SAP</v>
      </c>
      <c r="H1021" s="4" t="s">
        <v>13</v>
      </c>
    </row>
    <row r="1022" spans="1:8" x14ac:dyDescent="0.2">
      <c r="A1022" s="4" t="str">
        <f>"10.715/001/2025"</f>
        <v>10.715/001/2025</v>
      </c>
      <c r="B1022" s="4" t="str">
        <f>"SAP - offene Supervision für sonstige  Ressorts - nicht LKBGM"</f>
        <v>SAP - offene Supervision für sonstige  Ressorts - nicht LKBGM</v>
      </c>
      <c r="C1022" s="5">
        <v>45999</v>
      </c>
      <c r="D1022" s="5">
        <v>46000</v>
      </c>
      <c r="E1022" s="4" t="str">
        <f>"2 Tage"</f>
        <v>2 Tage</v>
      </c>
      <c r="F1022" s="6">
        <v>430</v>
      </c>
      <c r="G1022" s="4" t="str">
        <f t="shared" si="86"/>
        <v>SAP</v>
      </c>
      <c r="H1022" s="4" t="s">
        <v>13</v>
      </c>
    </row>
    <row r="1023" spans="1:8" x14ac:dyDescent="0.2">
      <c r="A1023" s="4" t="str">
        <f>"11.105/001/2025"</f>
        <v>11.105/001/2025</v>
      </c>
      <c r="B1023" s="4" t="str">
        <f>"New Work: Zusammenarbeit und Zielmanagement mit Objectives und Key Results (OKR)"</f>
        <v>New Work: Zusammenarbeit und Zielmanagement mit Objectives und Key Results (OKR)</v>
      </c>
      <c r="C1023" s="5">
        <v>45943</v>
      </c>
      <c r="D1023" s="5">
        <v>45944</v>
      </c>
      <c r="E1023" s="4" t="str">
        <f>"2 Tage"</f>
        <v>2 Tage</v>
      </c>
      <c r="F1023" s="6">
        <v>390</v>
      </c>
      <c r="G1023" s="4" t="str">
        <f t="shared" ref="G1023:G1032" si="88">"Fachübergreifendes Seminar"</f>
        <v>Fachübergreifendes Seminar</v>
      </c>
      <c r="H1023" s="4" t="s">
        <v>11</v>
      </c>
    </row>
    <row r="1024" spans="1:8" x14ac:dyDescent="0.2">
      <c r="A1024" s="4" t="str">
        <f>"11.110/001/2025"</f>
        <v>11.110/001/2025</v>
      </c>
      <c r="B1024" s="4" t="str">
        <f>"New Work: Denkbar - agile Arbeitsmethoden im Wandel der Digitalisierung"</f>
        <v>New Work: Denkbar - agile Arbeitsmethoden im Wandel der Digitalisierung</v>
      </c>
      <c r="C1024" s="5">
        <v>45918</v>
      </c>
      <c r="D1024" s="5">
        <v>45919</v>
      </c>
      <c r="E1024" s="4" t="str">
        <f>"2 Tage"</f>
        <v>2 Tage</v>
      </c>
      <c r="F1024" s="6">
        <v>490</v>
      </c>
      <c r="G1024" s="4" t="str">
        <f t="shared" si="88"/>
        <v>Fachübergreifendes Seminar</v>
      </c>
      <c r="H1024" s="4" t="s">
        <v>11</v>
      </c>
    </row>
    <row r="1025" spans="1:8" x14ac:dyDescent="0.2">
      <c r="A1025" s="4" t="str">
        <f>"11.130/001/2025"</f>
        <v>11.130/001/2025</v>
      </c>
      <c r="B1025" s="4" t="str">
        <f>"New Work: Wissensmanagement als Strategie im Arbeitsalltag"</f>
        <v>New Work: Wissensmanagement als Strategie im Arbeitsalltag</v>
      </c>
      <c r="C1025" s="5">
        <v>45785</v>
      </c>
      <c r="D1025" s="5">
        <v>45786</v>
      </c>
      <c r="E1025" s="4" t="str">
        <f>"2 Tage"</f>
        <v>2 Tage</v>
      </c>
      <c r="F1025" s="6">
        <v>490</v>
      </c>
      <c r="G1025" s="4" t="str">
        <f t="shared" si="88"/>
        <v>Fachübergreifendes Seminar</v>
      </c>
      <c r="H1025" s="4" t="s">
        <v>11</v>
      </c>
    </row>
    <row r="1026" spans="1:8" x14ac:dyDescent="0.2">
      <c r="A1026" s="4" t="str">
        <f>"11.135/001/2025"</f>
        <v>11.135/001/2025</v>
      </c>
      <c r="B1026" s="4" t="str">
        <f>"New Work: Design Thinking in der Verwaltungspraxis"</f>
        <v>New Work: Design Thinking in der Verwaltungspraxis</v>
      </c>
      <c r="C1026" s="5">
        <v>45712</v>
      </c>
      <c r="D1026" s="5">
        <v>45713</v>
      </c>
      <c r="E1026" s="4" t="str">
        <f>"2 Tage"</f>
        <v>2 Tage</v>
      </c>
      <c r="F1026" s="6">
        <v>380</v>
      </c>
      <c r="G1026" s="4" t="str">
        <f t="shared" si="88"/>
        <v>Fachübergreifendes Seminar</v>
      </c>
      <c r="H1026" s="4" t="s">
        <v>11</v>
      </c>
    </row>
    <row r="1027" spans="1:8" x14ac:dyDescent="0.2">
      <c r="A1027" s="4" t="str">
        <f>"11.140/001/2025"</f>
        <v>11.140/001/2025</v>
      </c>
      <c r="B1027" s="4" t="str">
        <f>"New Work: Kanban  Arbeitsplanung leicht gemacht"</f>
        <v>New Work: Kanban  Arbeitsplanung leicht gemacht</v>
      </c>
      <c r="C1027" s="5">
        <v>45975</v>
      </c>
      <c r="D1027" s="5">
        <v>45975</v>
      </c>
      <c r="E1027" s="4" t="str">
        <f>"1 Tag"</f>
        <v>1 Tag</v>
      </c>
      <c r="F1027" s="6">
        <v>220</v>
      </c>
      <c r="G1027" s="4" t="str">
        <f t="shared" si="88"/>
        <v>Fachübergreifendes Seminar</v>
      </c>
      <c r="H1027" s="4" t="s">
        <v>11</v>
      </c>
    </row>
    <row r="1028" spans="1:8" x14ac:dyDescent="0.2">
      <c r="A1028" s="4" t="str">
        <f>"11.145/001/2025"</f>
        <v>11.145/001/2025</v>
      </c>
      <c r="B1028" s="4" t="str">
        <f>"New Work: Agiles Projektmanagement - neue Methoden im dynamischen Umfeld"</f>
        <v>New Work: Agiles Projektmanagement - neue Methoden im dynamischen Umfeld</v>
      </c>
      <c r="C1028" s="5">
        <v>46002</v>
      </c>
      <c r="D1028" s="5">
        <v>46003</v>
      </c>
      <c r="E1028" s="4" t="str">
        <f>"2 Tage"</f>
        <v>2 Tage</v>
      </c>
      <c r="F1028" s="6">
        <v>490</v>
      </c>
      <c r="G1028" s="4" t="str">
        <f t="shared" si="88"/>
        <v>Fachübergreifendes Seminar</v>
      </c>
      <c r="H1028" s="4" t="s">
        <v>11</v>
      </c>
    </row>
    <row r="1029" spans="1:8" x14ac:dyDescent="0.2">
      <c r="A1029" s="4" t="str">
        <f>"11.150/001/2025"</f>
        <v>11.150/001/2025</v>
      </c>
      <c r="B1029" s="4" t="str">
        <f>"Komplexe Aufgaben meistern: Agiles Projektmanagement mit Scrum"</f>
        <v>Komplexe Aufgaben meistern: Agiles Projektmanagement mit Scrum</v>
      </c>
      <c r="C1029" s="5">
        <v>45846</v>
      </c>
      <c r="D1029" s="5">
        <v>45847</v>
      </c>
      <c r="E1029" s="4" t="str">
        <f>"2 Tage"</f>
        <v>2 Tage</v>
      </c>
      <c r="F1029" s="6">
        <v>420</v>
      </c>
      <c r="G1029" s="4" t="str">
        <f t="shared" si="88"/>
        <v>Fachübergreifendes Seminar</v>
      </c>
      <c r="H1029" s="4" t="s">
        <v>11</v>
      </c>
    </row>
    <row r="1030" spans="1:8" x14ac:dyDescent="0.2">
      <c r="A1030" s="4" t="str">
        <f>"11.165/001/2025"</f>
        <v>11.165/001/2025</v>
      </c>
      <c r="B1030" s="4" t="str">
        <f>"New Work: LEGO Serious Play als innovative Problemlösungs-, Kreativitäts- und Kommunikationsmethode - ein 3-D-Drucker für unsere Gedanken und Ideen"</f>
        <v>New Work: LEGO Serious Play als innovative Problemlösungs-, Kreativitäts- und Kommunikationsmethode - ein 3-D-Drucker für unsere Gedanken und Ideen</v>
      </c>
      <c r="C1030" s="5">
        <v>45961</v>
      </c>
      <c r="D1030" s="5">
        <v>45961</v>
      </c>
      <c r="E1030" s="4" t="str">
        <f>"1 Tag"</f>
        <v>1 Tag</v>
      </c>
      <c r="F1030" s="6">
        <v>220</v>
      </c>
      <c r="G1030" s="4" t="str">
        <f t="shared" si="88"/>
        <v>Fachübergreifendes Seminar</v>
      </c>
      <c r="H1030" s="4" t="s">
        <v>11</v>
      </c>
    </row>
    <row r="1031" spans="1:8" x14ac:dyDescent="0.2">
      <c r="A1031" s="4" t="str">
        <f>"11.170/001/2025"</f>
        <v>11.170/001/2025</v>
      </c>
      <c r="B1031" s="4" t="str">
        <f>"New Work: Ein Koffer voller Workhacks - kreative Lösungen aus dem agilen Arbeiten für Erfolge in der Digitalisierung"</f>
        <v>New Work: Ein Koffer voller Workhacks - kreative Lösungen aus dem agilen Arbeiten für Erfolge in der Digitalisierung</v>
      </c>
      <c r="C1031" s="5">
        <v>45860</v>
      </c>
      <c r="D1031" s="5">
        <v>45861</v>
      </c>
      <c r="E1031" s="4" t="str">
        <f>"2 Tage"</f>
        <v>2 Tage</v>
      </c>
      <c r="F1031" s="6">
        <v>490</v>
      </c>
      <c r="G1031" s="4" t="str">
        <f t="shared" si="88"/>
        <v>Fachübergreifendes Seminar</v>
      </c>
      <c r="H1031" s="4" t="s">
        <v>11</v>
      </c>
    </row>
    <row r="1032" spans="1:8" x14ac:dyDescent="0.2">
      <c r="A1032" s="4" t="str">
        <f>"11.210/001/2025"</f>
        <v>11.210/001/2025</v>
      </c>
      <c r="B1032" s="4" t="str">
        <f>"Organisationsarbeit - Einführung"</f>
        <v>Organisationsarbeit - Einführung</v>
      </c>
      <c r="C1032" s="5">
        <v>45845</v>
      </c>
      <c r="D1032" s="5">
        <v>45847</v>
      </c>
      <c r="E1032" s="4" t="str">
        <f>"3 Tage"</f>
        <v>3 Tage</v>
      </c>
      <c r="F1032" s="6">
        <v>760</v>
      </c>
      <c r="G1032" s="4" t="str">
        <f t="shared" si="88"/>
        <v>Fachübergreifendes Seminar</v>
      </c>
      <c r="H1032" s="4" t="s">
        <v>11</v>
      </c>
    </row>
    <row r="1033" spans="1:8" x14ac:dyDescent="0.2">
      <c r="A1033" s="4" t="str">
        <f>"11.215/001/2025"</f>
        <v>11.215/001/2025</v>
      </c>
      <c r="B1033" s="4" t="str">
        <f>"Leadership und Change Management"</f>
        <v>Leadership und Change Management</v>
      </c>
      <c r="C1033" s="5">
        <v>45985</v>
      </c>
      <c r="D1033" s="5">
        <v>45987</v>
      </c>
      <c r="E1033" s="4" t="str">
        <f>"3 Tage"</f>
        <v>3 Tage</v>
      </c>
      <c r="F1033" s="6">
        <v>760</v>
      </c>
      <c r="G1033" s="4" t="s">
        <v>17</v>
      </c>
      <c r="H1033" s="4" t="s">
        <v>11</v>
      </c>
    </row>
    <row r="1034" spans="1:8" x14ac:dyDescent="0.2">
      <c r="A1034" s="4" t="str">
        <f>"11.220/001/2025"</f>
        <v>11.220/001/2025</v>
      </c>
      <c r="B1034" s="4" t="str">
        <f>"Veränderungsprozesse gemeinsam gestalten"</f>
        <v>Veränderungsprozesse gemeinsam gestalten</v>
      </c>
      <c r="C1034" s="5">
        <v>45834</v>
      </c>
      <c r="D1034" s="5">
        <v>45835</v>
      </c>
      <c r="E1034" s="4" t="str">
        <f>"2 Tage"</f>
        <v>2 Tage</v>
      </c>
      <c r="F1034" s="6">
        <v>490</v>
      </c>
      <c r="G1034" s="4" t="str">
        <f>"Fachübergreifendes Seminar"</f>
        <v>Fachübergreifendes Seminar</v>
      </c>
      <c r="H1034" s="4" t="s">
        <v>11</v>
      </c>
    </row>
    <row r="1035" spans="1:8" x14ac:dyDescent="0.2">
      <c r="A1035" s="4" t="str">
        <f>"11.222/001/2025"</f>
        <v>11.222/001/2025</v>
      </c>
      <c r="B1035" s="4" t="str">
        <f>"Workshop: Change Agents"</f>
        <v>Workshop: Change Agents</v>
      </c>
      <c r="C1035" s="5">
        <v>45736</v>
      </c>
      <c r="D1035" s="5">
        <v>45831</v>
      </c>
      <c r="E1035" s="4" t="str">
        <f>"2 x 2 + 1 Tag"</f>
        <v>2 x 2 + 1 Tag</v>
      </c>
      <c r="F1035" s="6">
        <v>1470</v>
      </c>
      <c r="G1035" s="4"/>
      <c r="H1035" s="4" t="s">
        <v>11</v>
      </c>
    </row>
    <row r="1036" spans="1:8" x14ac:dyDescent="0.2">
      <c r="A1036" s="4" t="str">
        <f>"11.222/001 a/2025"</f>
        <v>11.222/001 a/2025</v>
      </c>
      <c r="B1036" s="4" t="str">
        <f>"Teil 1: Rolle des Change Agent"</f>
        <v>Teil 1: Rolle des Change Agent</v>
      </c>
      <c r="C1036" s="5">
        <v>45736</v>
      </c>
      <c r="D1036" s="5">
        <v>45737</v>
      </c>
      <c r="E1036" s="4"/>
      <c r="F1036" s="6" t="s">
        <v>11</v>
      </c>
      <c r="G1036" s="4" t="str">
        <f t="shared" ref="G1036:G1041" si="89">"Fachübergreifendes Seminar"</f>
        <v>Fachübergreifendes Seminar</v>
      </c>
      <c r="H1036" s="4" t="s">
        <v>11</v>
      </c>
    </row>
    <row r="1037" spans="1:8" x14ac:dyDescent="0.2">
      <c r="A1037" s="4" t="str">
        <f>"11.222/001 b/2025"</f>
        <v>11.222/001 b/2025</v>
      </c>
      <c r="B1037" s="4" t="str">
        <f>"Teil 2: Tools für Kommunikation, Moderation und Change"</f>
        <v>Teil 2: Tools für Kommunikation, Moderation und Change</v>
      </c>
      <c r="C1037" s="5">
        <v>45785</v>
      </c>
      <c r="D1037" s="5">
        <v>45786</v>
      </c>
      <c r="E1037" s="4"/>
      <c r="F1037" s="6" t="s">
        <v>11</v>
      </c>
      <c r="G1037" s="4" t="str">
        <f t="shared" si="89"/>
        <v>Fachübergreifendes Seminar</v>
      </c>
      <c r="H1037" s="4" t="s">
        <v>11</v>
      </c>
    </row>
    <row r="1038" spans="1:8" x14ac:dyDescent="0.2">
      <c r="A1038" s="4" t="str">
        <f>"11.222/001 c/2025"</f>
        <v>11.222/001 c/2025</v>
      </c>
      <c r="B1038" s="4" t="str">
        <f>"Teil 3: Follow-Up"</f>
        <v>Teil 3: Follow-Up</v>
      </c>
      <c r="C1038" s="5">
        <v>45831</v>
      </c>
      <c r="D1038" s="5">
        <v>45831</v>
      </c>
      <c r="E1038" s="4"/>
      <c r="F1038" s="6" t="s">
        <v>11</v>
      </c>
      <c r="G1038" s="4" t="str">
        <f t="shared" si="89"/>
        <v>Fachübergreifendes Seminar</v>
      </c>
      <c r="H1038" s="4" t="s">
        <v>11</v>
      </c>
    </row>
    <row r="1039" spans="1:8" x14ac:dyDescent="0.2">
      <c r="A1039" s="4" t="str">
        <f>"11.225/001/2025"</f>
        <v>11.225/001/2025</v>
      </c>
      <c r="B1039" s="4" t="str">
        <f>"Veränderungsprozesse optimieren"</f>
        <v>Veränderungsprozesse optimieren</v>
      </c>
      <c r="C1039" s="5">
        <v>45820</v>
      </c>
      <c r="D1039" s="5">
        <v>45821</v>
      </c>
      <c r="E1039" s="4" t="str">
        <f>"2 Tage"</f>
        <v>2 Tage</v>
      </c>
      <c r="F1039" s="6">
        <v>490</v>
      </c>
      <c r="G1039" s="4" t="str">
        <f t="shared" si="89"/>
        <v>Fachübergreifendes Seminar</v>
      </c>
      <c r="H1039" s="4" t="s">
        <v>11</v>
      </c>
    </row>
    <row r="1040" spans="1:8" x14ac:dyDescent="0.2">
      <c r="A1040" s="4" t="str">
        <f>"11.227/001/2025"</f>
        <v>11.227/001/2025</v>
      </c>
      <c r="B1040" s="4" t="str">
        <f>"Organisationen - das Potenzial von Innovationen nutzen"</f>
        <v>Organisationen - das Potenzial von Innovationen nutzen</v>
      </c>
      <c r="C1040" s="5">
        <v>45818</v>
      </c>
      <c r="D1040" s="5">
        <v>45818</v>
      </c>
      <c r="E1040" s="4" t="str">
        <f>"1 Tag"</f>
        <v>1 Tag</v>
      </c>
      <c r="F1040" s="6">
        <v>220</v>
      </c>
      <c r="G1040" s="4" t="str">
        <f t="shared" si="89"/>
        <v>Fachübergreifendes Seminar</v>
      </c>
      <c r="H1040" s="4" t="s">
        <v>11</v>
      </c>
    </row>
    <row r="1041" spans="1:8" x14ac:dyDescent="0.2">
      <c r="A1041" s="4" t="str">
        <f>"11.230/001/2025"</f>
        <v>11.230/001/2025</v>
      </c>
      <c r="B1041" s="4" t="str">
        <f>"Verwaltung 4.0 - den digitalen Wandel gestalten"</f>
        <v>Verwaltung 4.0 - den digitalen Wandel gestalten</v>
      </c>
      <c r="C1041" s="5">
        <v>45978</v>
      </c>
      <c r="D1041" s="5">
        <v>45979</v>
      </c>
      <c r="E1041" s="4" t="str">
        <f>"2 Tage"</f>
        <v>2 Tage</v>
      </c>
      <c r="F1041" s="6">
        <v>490</v>
      </c>
      <c r="G1041" s="4" t="str">
        <f t="shared" si="89"/>
        <v>Fachübergreifendes Seminar</v>
      </c>
      <c r="H1041" s="4" t="s">
        <v>11</v>
      </c>
    </row>
    <row r="1042" spans="1:8" x14ac:dyDescent="0.2">
      <c r="A1042" s="4" t="str">
        <f>"11.245/001/2025"</f>
        <v>11.245/001/2025</v>
      </c>
      <c r="B1042" s="4" t="str">
        <f>"Change Management für Führungskräfte"</f>
        <v>Change Management für Führungskräfte</v>
      </c>
      <c r="C1042" s="5">
        <v>45733</v>
      </c>
      <c r="D1042" s="5">
        <v>45735</v>
      </c>
      <c r="E1042" s="4" t="str">
        <f>"3 Tage "</f>
        <v xml:space="preserve">3 Tage </v>
      </c>
      <c r="F1042" s="6">
        <v>760</v>
      </c>
      <c r="G1042" s="4" t="s">
        <v>17</v>
      </c>
      <c r="H1042" s="4" t="s">
        <v>11</v>
      </c>
    </row>
    <row r="1043" spans="1:8" x14ac:dyDescent="0.2">
      <c r="A1043" s="4" t="str">
        <f>"11.255/001/2025"</f>
        <v>11.255/001/2025</v>
      </c>
      <c r="B1043" s="4" t="str">
        <f>"Künstliche Intelligenz, Digitalisierung und Landesverwaltung - Herausforderungen und Chancen"</f>
        <v>Künstliche Intelligenz, Digitalisierung und Landesverwaltung - Herausforderungen und Chancen</v>
      </c>
      <c r="C1043" s="5">
        <v>45785</v>
      </c>
      <c r="D1043" s="5">
        <v>45786</v>
      </c>
      <c r="E1043" s="4" t="str">
        <f>"2 Tage"</f>
        <v>2 Tage</v>
      </c>
      <c r="F1043" s="6">
        <v>460</v>
      </c>
      <c r="G1043" s="4" t="str">
        <f>"Fachübergreifendes Seminar"</f>
        <v>Fachübergreifendes Seminar</v>
      </c>
      <c r="H1043" s="4" t="s">
        <v>11</v>
      </c>
    </row>
    <row r="1044" spans="1:8" x14ac:dyDescent="0.2">
      <c r="A1044" s="4" t="str">
        <f>"11.255/002/2025"</f>
        <v>11.255/002/2025</v>
      </c>
      <c r="B1044" s="4" t="str">
        <f>"Künstliche Intelligenz, Digitalisierung und Landesverwaltung - Herausforderungen und Chancen"</f>
        <v>Künstliche Intelligenz, Digitalisierung und Landesverwaltung - Herausforderungen und Chancen</v>
      </c>
      <c r="C1044" s="5">
        <v>45988</v>
      </c>
      <c r="D1044" s="5">
        <v>45989</v>
      </c>
      <c r="E1044" s="4" t="str">
        <f>"2 Tage"</f>
        <v>2 Tage</v>
      </c>
      <c r="F1044" s="6">
        <v>460</v>
      </c>
      <c r="G1044" s="4" t="str">
        <f>"Fachübergreifendes Seminar"</f>
        <v>Fachübergreifendes Seminar</v>
      </c>
      <c r="H1044" s="4" t="s">
        <v>11</v>
      </c>
    </row>
    <row r="1045" spans="1:8" x14ac:dyDescent="0.2">
      <c r="A1045" s="4" t="str">
        <f>"11.258/001/2025"</f>
        <v>11.258/001/2025</v>
      </c>
      <c r="B1045" s="4" t="str">
        <f>"Workshop: Digitalisierung und neue Technologien-  Umsetzungsmöglichkeiten in der Organisation"</f>
        <v>Workshop: Digitalisierung und neue Technologien-  Umsetzungsmöglichkeiten in der Organisation</v>
      </c>
      <c r="C1045" s="5">
        <v>45691</v>
      </c>
      <c r="D1045" s="5">
        <v>45744</v>
      </c>
      <c r="E1045" s="4" t="str">
        <f>"2 x 1 Tag"</f>
        <v>2 x 1 Tag</v>
      </c>
      <c r="F1045" s="6">
        <v>440</v>
      </c>
      <c r="G1045" s="4" t="s">
        <v>17</v>
      </c>
      <c r="H1045" s="4" t="s">
        <v>11</v>
      </c>
    </row>
    <row r="1046" spans="1:8" x14ac:dyDescent="0.2">
      <c r="A1046" s="4" t="str">
        <f>"11.258/001 a/2025"</f>
        <v>11.258/001 a/2025</v>
      </c>
      <c r="B1046" s="4" t="str">
        <f>"Workshop: Digitalisierung und neue Technologien-  Umsetzungsmöglichkeiten in der Organisation "</f>
        <v xml:space="preserve">Workshop: Digitalisierung und neue Technologien-  Umsetzungsmöglichkeiten in der Organisation </v>
      </c>
      <c r="C1046" s="5">
        <v>45691</v>
      </c>
      <c r="D1046" s="5">
        <v>45691</v>
      </c>
      <c r="E1046" s="4"/>
      <c r="F1046" s="6" t="s">
        <v>11</v>
      </c>
      <c r="G1046" s="4"/>
      <c r="H1046" s="4" t="s">
        <v>11</v>
      </c>
    </row>
    <row r="1047" spans="1:8" x14ac:dyDescent="0.2">
      <c r="A1047" s="4" t="str">
        <f>"11.258/001 b/2025"</f>
        <v>11.258/001 b/2025</v>
      </c>
      <c r="B1047" s="4" t="str">
        <f>"Workshop: Digitalisierung und neue Technologien-  Umsetzungsmöglichkeiten in der Organisation "</f>
        <v xml:space="preserve">Workshop: Digitalisierung und neue Technologien-  Umsetzungsmöglichkeiten in der Organisation </v>
      </c>
      <c r="C1047" s="5">
        <v>45744</v>
      </c>
      <c r="D1047" s="5">
        <v>45744</v>
      </c>
      <c r="E1047" s="4"/>
      <c r="F1047" s="6" t="s">
        <v>11</v>
      </c>
      <c r="G1047" s="4"/>
      <c r="H1047" s="4" t="s">
        <v>11</v>
      </c>
    </row>
    <row r="1048" spans="1:8" x14ac:dyDescent="0.2">
      <c r="A1048" s="4" t="str">
        <f>"11.260/001/2025"</f>
        <v>11.260/001/2025</v>
      </c>
      <c r="B1048" s="4" t="str">
        <f>"Workshop: Aus Fehlern lernen - Potenziale einer positiven Fehlerkultur für Individuum, Team und Organisation"</f>
        <v>Workshop: Aus Fehlern lernen - Potenziale einer positiven Fehlerkultur für Individuum, Team und Organisation</v>
      </c>
      <c r="C1048" s="5">
        <v>45761</v>
      </c>
      <c r="D1048" s="5">
        <v>45762</v>
      </c>
      <c r="E1048" s="4" t="str">
        <f>"2 Tage"</f>
        <v>2 Tage</v>
      </c>
      <c r="F1048" s="6">
        <v>490</v>
      </c>
      <c r="G1048" s="4" t="s">
        <v>17</v>
      </c>
      <c r="H1048" s="4" t="s">
        <v>11</v>
      </c>
    </row>
    <row r="1049" spans="1:8" x14ac:dyDescent="0.2">
      <c r="A1049" s="4" t="str">
        <f>"11.265/001/2025"</f>
        <v>11.265/001/2025</v>
      </c>
      <c r="B1049" s="4" t="str">
        <f>"Schriftgutverwaltung und Aktenführung für Führungskräfte"</f>
        <v>Schriftgutverwaltung und Aktenführung für Führungskräfte</v>
      </c>
      <c r="C1049" s="5">
        <v>45814</v>
      </c>
      <c r="D1049" s="5">
        <v>45814</v>
      </c>
      <c r="E1049" s="4" t="str">
        <f>"1 Tag"</f>
        <v>1 Tag</v>
      </c>
      <c r="F1049" s="6">
        <v>220</v>
      </c>
      <c r="G1049" s="4" t="str">
        <f>"Fachübergreifendes Seminar"</f>
        <v>Fachübergreifendes Seminar</v>
      </c>
      <c r="H1049" s="4" t="s">
        <v>11</v>
      </c>
    </row>
    <row r="1050" spans="1:8" x14ac:dyDescent="0.2">
      <c r="A1050" s="4" t="str">
        <f>"11.270/001/2025"</f>
        <v>11.270/001/2025</v>
      </c>
      <c r="B1050" s="4" t="str">
        <f>"Nachhaltigkeit in der Verwaltung - der Beitrag aus Sicht der Verwaltung"</f>
        <v>Nachhaltigkeit in der Verwaltung - der Beitrag aus Sicht der Verwaltung</v>
      </c>
      <c r="C1050" s="5">
        <v>45789</v>
      </c>
      <c r="D1050" s="5">
        <v>45790</v>
      </c>
      <c r="E1050" s="4" t="str">
        <f>"2 Tage"</f>
        <v>2 Tage</v>
      </c>
      <c r="F1050" s="6">
        <v>270</v>
      </c>
      <c r="G1050" s="4" t="s">
        <v>17</v>
      </c>
      <c r="H1050" s="4" t="s">
        <v>11</v>
      </c>
    </row>
    <row r="1051" spans="1:8" x14ac:dyDescent="0.2">
      <c r="A1051" s="4" t="str">
        <f>"11.310/001/2025"</f>
        <v>11.310/001/2025</v>
      </c>
      <c r="B1051" s="4" t="str">
        <f>"Projektmanagement - Einführung"</f>
        <v>Projektmanagement - Einführung</v>
      </c>
      <c r="C1051" s="5">
        <v>45693</v>
      </c>
      <c r="D1051" s="5">
        <v>45695</v>
      </c>
      <c r="E1051" s="4" t="str">
        <f>"3 Tage"</f>
        <v>3 Tage</v>
      </c>
      <c r="F1051" s="6">
        <v>760</v>
      </c>
      <c r="G1051" s="4" t="str">
        <f>"Fachübergreifendes Seminar"</f>
        <v>Fachübergreifendes Seminar</v>
      </c>
      <c r="H1051" s="4" t="s">
        <v>11</v>
      </c>
    </row>
    <row r="1052" spans="1:8" x14ac:dyDescent="0.2">
      <c r="A1052" s="4" t="str">
        <f>"11.310/002/2025"</f>
        <v>11.310/002/2025</v>
      </c>
      <c r="B1052" s="4" t="str">
        <f>"Projektmanagement - Einführung"</f>
        <v>Projektmanagement - Einführung</v>
      </c>
      <c r="C1052" s="5">
        <v>45810</v>
      </c>
      <c r="D1052" s="5">
        <v>45812</v>
      </c>
      <c r="E1052" s="4" t="str">
        <f>"3 Tage"</f>
        <v>3 Tage</v>
      </c>
      <c r="F1052" s="6">
        <v>760</v>
      </c>
      <c r="G1052" s="4" t="str">
        <f>"Fachübergreifendes Seminar"</f>
        <v>Fachübergreifendes Seminar</v>
      </c>
      <c r="H1052" s="4" t="s">
        <v>11</v>
      </c>
    </row>
    <row r="1053" spans="1:8" x14ac:dyDescent="0.2">
      <c r="A1053" s="4" t="str">
        <f>"11.310/003/2025"</f>
        <v>11.310/003/2025</v>
      </c>
      <c r="B1053" s="4" t="str">
        <f>"Projektmanagement - Einführung"</f>
        <v>Projektmanagement - Einführung</v>
      </c>
      <c r="C1053" s="5">
        <v>45868</v>
      </c>
      <c r="D1053" s="5">
        <v>45870</v>
      </c>
      <c r="E1053" s="4" t="str">
        <f>"3 Tage"</f>
        <v>3 Tage</v>
      </c>
      <c r="F1053" s="6">
        <v>760</v>
      </c>
      <c r="G1053" s="4" t="str">
        <f>"Fachübergreifendes Seminar"</f>
        <v>Fachübergreifendes Seminar</v>
      </c>
      <c r="H1053" s="4" t="s">
        <v>11</v>
      </c>
    </row>
    <row r="1054" spans="1:8" x14ac:dyDescent="0.2">
      <c r="A1054" s="4" t="str">
        <f>"11.320/001/2025"</f>
        <v>11.320/001/2025</v>
      </c>
      <c r="B1054" s="4" t="str">
        <f>"Projektmanagement für Projektleitungen - Vertiefung"</f>
        <v>Projektmanagement für Projektleitungen - Vertiefung</v>
      </c>
      <c r="C1054" s="5">
        <v>45911</v>
      </c>
      <c r="D1054" s="5">
        <v>45912</v>
      </c>
      <c r="E1054" s="4" t="str">
        <f>"2 Tage"</f>
        <v>2 Tage</v>
      </c>
      <c r="F1054" s="6">
        <v>490</v>
      </c>
      <c r="G1054" s="4" t="str">
        <f>"Fachübergreifendes Seminar"</f>
        <v>Fachübergreifendes Seminar</v>
      </c>
      <c r="H1054" s="4" t="s">
        <v>11</v>
      </c>
    </row>
    <row r="1055" spans="1:8" x14ac:dyDescent="0.2">
      <c r="A1055" s="4" t="str">
        <f>"11.325/001/2025"</f>
        <v>11.325/001/2025</v>
      </c>
      <c r="B1055" s="4" t="str">
        <f>"Hybrides Projektmanagement- Projekte effizient und schnell steuern"</f>
        <v>Hybrides Projektmanagement- Projekte effizient und schnell steuern</v>
      </c>
      <c r="C1055" s="5">
        <v>45936</v>
      </c>
      <c r="D1055" s="5">
        <v>45936</v>
      </c>
      <c r="E1055" s="4" t="str">
        <f>"1 Tag"</f>
        <v>1 Tag</v>
      </c>
      <c r="F1055" s="6">
        <v>220</v>
      </c>
      <c r="G1055" s="4" t="str">
        <f>"Fachübergreifendes Seminar"</f>
        <v>Fachübergreifendes Seminar</v>
      </c>
      <c r="H1055" s="4" t="s">
        <v>11</v>
      </c>
    </row>
    <row r="1056" spans="1:8" x14ac:dyDescent="0.2">
      <c r="A1056" s="4" t="str">
        <f>"11.330/001/2025"</f>
        <v>11.330/001/2025</v>
      </c>
      <c r="B1056" s="4" t="str">
        <f>"Projektmanagement nach der PRINCE2-Methode - Grundlagen"</f>
        <v>Projektmanagement nach der PRINCE2-Methode - Grundlagen</v>
      </c>
      <c r="C1056" s="5">
        <v>45937</v>
      </c>
      <c r="D1056" s="5">
        <v>45938</v>
      </c>
      <c r="E1056" s="4" t="str">
        <f>"2 Tage"</f>
        <v>2 Tage</v>
      </c>
      <c r="F1056" s="6">
        <v>490</v>
      </c>
      <c r="G1056" s="4" t="s">
        <v>17</v>
      </c>
      <c r="H1056" s="4" t="s">
        <v>11</v>
      </c>
    </row>
    <row r="1057" spans="1:8" x14ac:dyDescent="0.2">
      <c r="A1057" s="4" t="str">
        <f>"11.340/001/2025"</f>
        <v>11.340/001/2025</v>
      </c>
      <c r="B1057" s="4" t="str">
        <f>"Erste-Hilfe-Koffer für Projektprobleme - vom Stillstand zum Endergebnis. Tools für Planung, Durchführung und professionellem Abschluss der Projekte"</f>
        <v>Erste-Hilfe-Koffer für Projektprobleme - vom Stillstand zum Endergebnis. Tools für Planung, Durchführung und professionellem Abschluss der Projekte</v>
      </c>
      <c r="C1057" s="5">
        <v>45733</v>
      </c>
      <c r="D1057" s="5">
        <v>45810</v>
      </c>
      <c r="E1057" s="4" t="str">
        <f>"2 Tage am Block analog, 1 Tag online, 1 Tag analog"</f>
        <v>2 Tage am Block analog, 1 Tag online, 1 Tag analog</v>
      </c>
      <c r="F1057" s="6">
        <v>1010</v>
      </c>
      <c r="G1057" s="4"/>
      <c r="H1057" s="4" t="s">
        <v>11</v>
      </c>
    </row>
    <row r="1058" spans="1:8" x14ac:dyDescent="0.2">
      <c r="A1058" s="4" t="str">
        <f>"11.340/001 a/2025"</f>
        <v>11.340/001 a/2025</v>
      </c>
      <c r="B1058" s="4" t="str">
        <f>"Erste Hilfe Koffer für Projektprobleme"</f>
        <v>Erste Hilfe Koffer für Projektprobleme</v>
      </c>
      <c r="C1058" s="5">
        <v>45733</v>
      </c>
      <c r="D1058" s="5">
        <v>45734</v>
      </c>
      <c r="E1058" s="4"/>
      <c r="F1058" s="6" t="s">
        <v>11</v>
      </c>
      <c r="G1058" s="4" t="str">
        <f>"Fachübergreifendes Seminar"</f>
        <v>Fachübergreifendes Seminar</v>
      </c>
      <c r="H1058" s="4" t="s">
        <v>11</v>
      </c>
    </row>
    <row r="1059" spans="1:8" x14ac:dyDescent="0.2">
      <c r="A1059" s="4" t="str">
        <f>"11.340/001 b/2025"</f>
        <v>11.340/001 b/2025</v>
      </c>
      <c r="B1059" s="4" t="str">
        <f>"Erste Hilfe Koffer für Projektprobleme - online "</f>
        <v xml:space="preserve">Erste Hilfe Koffer für Projektprobleme - online </v>
      </c>
      <c r="C1059" s="5">
        <v>45777</v>
      </c>
      <c r="D1059" s="5">
        <v>45777</v>
      </c>
      <c r="E1059" s="4"/>
      <c r="F1059" s="6" t="s">
        <v>11</v>
      </c>
      <c r="G1059" s="4" t="str">
        <f>"Fachübergreifendes Seminar"</f>
        <v>Fachübergreifendes Seminar</v>
      </c>
      <c r="H1059" s="4" t="s">
        <v>11</v>
      </c>
    </row>
    <row r="1060" spans="1:8" x14ac:dyDescent="0.2">
      <c r="A1060" s="4" t="str">
        <f>"11.340/001 c/2025"</f>
        <v>11.340/001 c/2025</v>
      </c>
      <c r="B1060" s="4" t="str">
        <f>"Erste Hilfe Koffer für Projektprobleme"</f>
        <v>Erste Hilfe Koffer für Projektprobleme</v>
      </c>
      <c r="C1060" s="5">
        <v>45810</v>
      </c>
      <c r="D1060" s="5">
        <v>45810</v>
      </c>
      <c r="E1060" s="4"/>
      <c r="F1060" s="6" t="s">
        <v>11</v>
      </c>
      <c r="G1060" s="4" t="str">
        <f>"Fachübergreifendes Seminar"</f>
        <v>Fachübergreifendes Seminar</v>
      </c>
      <c r="H1060" s="4" t="s">
        <v>11</v>
      </c>
    </row>
    <row r="1061" spans="1:8" x14ac:dyDescent="0.2">
      <c r="A1061" s="4" t="str">
        <f>"11.350/001/2025"</f>
        <v>11.350/001/2025</v>
      </c>
      <c r="B1061" s="4" t="str">
        <f>"Prozessorientiertes Projektmanagement als Führungsaufgabe"</f>
        <v>Prozessorientiertes Projektmanagement als Führungsaufgabe</v>
      </c>
      <c r="C1061" s="5">
        <v>45812</v>
      </c>
      <c r="D1061" s="5">
        <v>45813</v>
      </c>
      <c r="E1061" s="4" t="str">
        <f>"2 Tage"</f>
        <v>2 Tage</v>
      </c>
      <c r="F1061" s="6">
        <v>490</v>
      </c>
      <c r="G1061" s="4" t="str">
        <f>"Führungsfortbildung"</f>
        <v>Führungsfortbildung</v>
      </c>
      <c r="H1061" s="4" t="s">
        <v>11</v>
      </c>
    </row>
    <row r="1062" spans="1:8" x14ac:dyDescent="0.2">
      <c r="A1062" s="4" t="str">
        <f>"11.410/001/2025"</f>
        <v>11.410/001/2025</v>
      </c>
      <c r="B1062" s="4" t="str">
        <f>"Geschäftsprozessanalyse und -optimierung"</f>
        <v>Geschäftsprozessanalyse und -optimierung</v>
      </c>
      <c r="C1062" s="5">
        <v>45684</v>
      </c>
      <c r="D1062" s="5">
        <v>45722</v>
      </c>
      <c r="E1062" s="4" t="str">
        <f>"2x2 Tage"</f>
        <v>2x2 Tage</v>
      </c>
      <c r="F1062" s="6">
        <v>990</v>
      </c>
      <c r="G1062" s="4"/>
      <c r="H1062" s="4" t="s">
        <v>11</v>
      </c>
    </row>
    <row r="1063" spans="1:8" x14ac:dyDescent="0.2">
      <c r="A1063" s="4" t="str">
        <f>"11.410/001 a/2025"</f>
        <v>11.410/001 a/2025</v>
      </c>
      <c r="B1063" s="4" t="str">
        <f>"Geschäftsprozessanalyse und -optimierung "</f>
        <v xml:space="preserve">Geschäftsprozessanalyse und -optimierung </v>
      </c>
      <c r="C1063" s="5">
        <v>45684</v>
      </c>
      <c r="D1063" s="5">
        <v>45685</v>
      </c>
      <c r="E1063" s="4"/>
      <c r="F1063" s="6" t="s">
        <v>11</v>
      </c>
      <c r="G1063" s="4" t="str">
        <f>"Fachübergreifendes Seminar"</f>
        <v>Fachübergreifendes Seminar</v>
      </c>
      <c r="H1063" s="4" t="s">
        <v>11</v>
      </c>
    </row>
    <row r="1064" spans="1:8" x14ac:dyDescent="0.2">
      <c r="A1064" s="4" t="str">
        <f>"11.410/001 b/2025"</f>
        <v>11.410/001 b/2025</v>
      </c>
      <c r="B1064" s="4" t="str">
        <f>"Geschäftsprozessanalyse und -optimierung"</f>
        <v>Geschäftsprozessanalyse und -optimierung</v>
      </c>
      <c r="C1064" s="5">
        <v>45721</v>
      </c>
      <c r="D1064" s="5">
        <v>45722</v>
      </c>
      <c r="E1064" s="4"/>
      <c r="F1064" s="6" t="s">
        <v>11</v>
      </c>
      <c r="G1064" s="4" t="str">
        <f>"Fachübergreifendes Seminar"</f>
        <v>Fachübergreifendes Seminar</v>
      </c>
      <c r="H1064" s="4" t="s">
        <v>11</v>
      </c>
    </row>
    <row r="1065" spans="1:8" x14ac:dyDescent="0.2">
      <c r="A1065" s="4" t="str">
        <f>"11.410/002/2025"</f>
        <v>11.410/002/2025</v>
      </c>
      <c r="B1065" s="4" t="str">
        <f>"Geschäftsprozessanalyse und -optimierung"</f>
        <v>Geschäftsprozessanalyse und -optimierung</v>
      </c>
      <c r="C1065" s="5">
        <v>45775</v>
      </c>
      <c r="D1065" s="5">
        <v>45839</v>
      </c>
      <c r="E1065" s="4" t="str">
        <f>"2x2 Tage"</f>
        <v>2x2 Tage</v>
      </c>
      <c r="F1065" s="6">
        <v>990</v>
      </c>
      <c r="G1065" s="4"/>
      <c r="H1065" s="4" t="s">
        <v>13</v>
      </c>
    </row>
    <row r="1066" spans="1:8" x14ac:dyDescent="0.2">
      <c r="A1066" s="4" t="str">
        <f>"11.410/002 a/2025"</f>
        <v>11.410/002 a/2025</v>
      </c>
      <c r="B1066" s="4" t="str">
        <f>"Geschäftsprozessanalyse und -optimierung "</f>
        <v xml:space="preserve">Geschäftsprozessanalyse und -optimierung </v>
      </c>
      <c r="C1066" s="5">
        <v>45775</v>
      </c>
      <c r="D1066" s="5">
        <v>45776</v>
      </c>
      <c r="E1066" s="4"/>
      <c r="F1066" s="6" t="s">
        <v>11</v>
      </c>
      <c r="G1066" s="4" t="str">
        <f>"Fachübergreifendes Seminar"</f>
        <v>Fachübergreifendes Seminar</v>
      </c>
      <c r="H1066" s="4" t="s">
        <v>11</v>
      </c>
    </row>
    <row r="1067" spans="1:8" x14ac:dyDescent="0.2">
      <c r="A1067" s="4" t="str">
        <f>"11.410/002 b/2025"</f>
        <v>11.410/002 b/2025</v>
      </c>
      <c r="B1067" s="4" t="str">
        <f>"Geschäftsprozessanalyse und -optimierung"</f>
        <v>Geschäftsprozessanalyse und -optimierung</v>
      </c>
      <c r="C1067" s="5">
        <v>45838</v>
      </c>
      <c r="D1067" s="5">
        <v>45839</v>
      </c>
      <c r="E1067" s="4"/>
      <c r="F1067" s="6" t="s">
        <v>11</v>
      </c>
      <c r="G1067" s="4" t="str">
        <f>"Fachübergreifendes Seminar"</f>
        <v>Fachübergreifendes Seminar</v>
      </c>
      <c r="H1067" s="4" t="s">
        <v>11</v>
      </c>
    </row>
    <row r="1068" spans="1:8" x14ac:dyDescent="0.2">
      <c r="A1068" s="4" t="str">
        <f>"11.420/001/2025"</f>
        <v>11.420/001/2025</v>
      </c>
      <c r="B1068" s="4" t="str">
        <f>"Qualitätsmanagement - Einführung"</f>
        <v>Qualitätsmanagement - Einführung</v>
      </c>
      <c r="C1068" s="5">
        <v>45943</v>
      </c>
      <c r="D1068" s="5">
        <v>45975</v>
      </c>
      <c r="E1068" s="4" t="str">
        <f>"2x2 Tage"</f>
        <v>2x2 Tage</v>
      </c>
      <c r="F1068" s="6">
        <v>990</v>
      </c>
      <c r="G1068" s="4"/>
      <c r="H1068" s="4" t="s">
        <v>13</v>
      </c>
    </row>
    <row r="1069" spans="1:8" x14ac:dyDescent="0.2">
      <c r="A1069" s="4" t="str">
        <f>"11.420/001 a/2025"</f>
        <v>11.420/001 a/2025</v>
      </c>
      <c r="B1069" s="4" t="str">
        <f>"Qualitätsmanagement - Einführung"</f>
        <v>Qualitätsmanagement - Einführung</v>
      </c>
      <c r="C1069" s="5">
        <v>45943</v>
      </c>
      <c r="D1069" s="5">
        <v>45944</v>
      </c>
      <c r="E1069" s="4"/>
      <c r="F1069" s="6" t="s">
        <v>11</v>
      </c>
      <c r="G1069" s="4" t="str">
        <f>"Fachübergreifendes Seminar"</f>
        <v>Fachübergreifendes Seminar</v>
      </c>
      <c r="H1069" s="4" t="s">
        <v>11</v>
      </c>
    </row>
    <row r="1070" spans="1:8" x14ac:dyDescent="0.2">
      <c r="A1070" s="4" t="str">
        <f>"11.420/001 b/2025"</f>
        <v>11.420/001 b/2025</v>
      </c>
      <c r="B1070" s="4" t="str">
        <f>"Qualitätsmanagement - Einführung"</f>
        <v>Qualitätsmanagement - Einführung</v>
      </c>
      <c r="C1070" s="5">
        <v>45974</v>
      </c>
      <c r="D1070" s="5">
        <v>45975</v>
      </c>
      <c r="E1070" s="4"/>
      <c r="F1070" s="6" t="s">
        <v>11</v>
      </c>
      <c r="G1070" s="4" t="str">
        <f>"Fachübergreifendes Seminar"</f>
        <v>Fachübergreifendes Seminar</v>
      </c>
      <c r="H1070" s="4" t="s">
        <v>11</v>
      </c>
    </row>
    <row r="1071" spans="1:8" x14ac:dyDescent="0.2">
      <c r="A1071" s="4" t="str">
        <f>"12.110/001/2025"</f>
        <v>12.110/001/2025</v>
      </c>
      <c r="B1071" s="4" t="str">
        <f>"Wieso? Weshalb? Warum? - Wissensmanagement praktisch umsetzen"</f>
        <v>Wieso? Weshalb? Warum? - Wissensmanagement praktisch umsetzen</v>
      </c>
      <c r="C1071" s="5">
        <v>45834</v>
      </c>
      <c r="D1071" s="5">
        <v>45902</v>
      </c>
      <c r="E1071" s="4" t="str">
        <f>"2x2 Tage"</f>
        <v>2x2 Tage</v>
      </c>
      <c r="F1071" s="6">
        <v>990</v>
      </c>
      <c r="G1071" s="4"/>
      <c r="H1071" s="4" t="s">
        <v>11</v>
      </c>
    </row>
    <row r="1072" spans="1:8" x14ac:dyDescent="0.2">
      <c r="A1072" s="4" t="str">
        <f>"12.110/001 a/2025"</f>
        <v>12.110/001 a/2025</v>
      </c>
      <c r="B1072" s="4" t="str">
        <f>"Wieso? Weshalb? Warum? - Wissensmanagement praktisch umsetzen"</f>
        <v>Wieso? Weshalb? Warum? - Wissensmanagement praktisch umsetzen</v>
      </c>
      <c r="C1072" s="5">
        <v>45834</v>
      </c>
      <c r="D1072" s="5">
        <v>45835</v>
      </c>
      <c r="E1072" s="4"/>
      <c r="F1072" s="6" t="s">
        <v>11</v>
      </c>
      <c r="G1072" s="4" t="s">
        <v>17</v>
      </c>
      <c r="H1072" s="4" t="s">
        <v>11</v>
      </c>
    </row>
    <row r="1073" spans="1:8" x14ac:dyDescent="0.2">
      <c r="A1073" s="4" t="str">
        <f>"12.110/001 b/2025"</f>
        <v>12.110/001 b/2025</v>
      </c>
      <c r="B1073" s="4" t="str">
        <f>"Wieso? Weshalb? Warum? - Wissensmanagement praktisch umsetzen"</f>
        <v>Wieso? Weshalb? Warum? - Wissensmanagement praktisch umsetzen</v>
      </c>
      <c r="C1073" s="5">
        <v>45901</v>
      </c>
      <c r="D1073" s="5">
        <v>45902</v>
      </c>
      <c r="E1073" s="4"/>
      <c r="F1073" s="6" t="s">
        <v>11</v>
      </c>
      <c r="G1073" s="4" t="s">
        <v>17</v>
      </c>
      <c r="H1073" s="4" t="s">
        <v>11</v>
      </c>
    </row>
    <row r="1074" spans="1:8" x14ac:dyDescent="0.2">
      <c r="A1074" s="4" t="str">
        <f>"12.120/001/2025"</f>
        <v>12.120/001/2025</v>
      </c>
      <c r="B1074" s="4" t="str">
        <f>"Selbstmotiviert lernen - der Schlüssel zum individuellen Wissensmanagement"</f>
        <v>Selbstmotiviert lernen - der Schlüssel zum individuellen Wissensmanagement</v>
      </c>
      <c r="C1074" s="5">
        <v>45763</v>
      </c>
      <c r="D1074" s="5">
        <v>45764</v>
      </c>
      <c r="E1074" s="4" t="str">
        <f>"2 Tage"</f>
        <v>2 Tage</v>
      </c>
      <c r="F1074" s="6">
        <v>490</v>
      </c>
      <c r="G1074" s="4" t="str">
        <f>"Fachübergreifendes Seminar"</f>
        <v>Fachübergreifendes Seminar</v>
      </c>
      <c r="H1074" s="4" t="s">
        <v>11</v>
      </c>
    </row>
    <row r="1075" spans="1:8" x14ac:dyDescent="0.2">
      <c r="A1075" s="4" t="str">
        <f>"12.240/001/2025"</f>
        <v>12.240/001/2025</v>
      </c>
      <c r="B1075" s="4" t="str">
        <f>"Impro für Trainerinnen und Trainer - geschmeidig durchs Seminar mit Methoden aus dem Improvisationstheater"</f>
        <v>Impro für Trainerinnen und Trainer - geschmeidig durchs Seminar mit Methoden aus dem Improvisationstheater</v>
      </c>
      <c r="C1075" s="5">
        <v>45813</v>
      </c>
      <c r="D1075" s="5">
        <v>45814</v>
      </c>
      <c r="E1075" s="4" t="str">
        <f>"2 Tage"</f>
        <v>2 Tage</v>
      </c>
      <c r="F1075" s="6">
        <v>490</v>
      </c>
      <c r="G1075" s="4" t="s">
        <v>17</v>
      </c>
      <c r="H1075" s="4" t="s">
        <v>11</v>
      </c>
    </row>
    <row r="1076" spans="1:8" x14ac:dyDescent="0.2">
      <c r="A1076" s="4" t="str">
        <f>"12.245/001/2025"</f>
        <v>12.245/001/2025</v>
      </c>
      <c r="B1076" s="4" t="str">
        <f>"Werkstatt: Ein Bild sagt mehr... - Visualisierung von Inhalten"</f>
        <v>Werkstatt: Ein Bild sagt mehr... - Visualisierung von Inhalten</v>
      </c>
      <c r="C1076" s="5">
        <v>45698</v>
      </c>
      <c r="D1076" s="5">
        <v>45698</v>
      </c>
      <c r="E1076" s="4" t="str">
        <f>"1 Tag"</f>
        <v>1 Tag</v>
      </c>
      <c r="F1076" s="6">
        <v>220</v>
      </c>
      <c r="G1076" s="4" t="s">
        <v>17</v>
      </c>
      <c r="H1076" s="4" t="s">
        <v>11</v>
      </c>
    </row>
    <row r="1077" spans="1:8" x14ac:dyDescent="0.2">
      <c r="A1077" s="4" t="str">
        <f>"12.310/001/2025"</f>
        <v>12.310/001/2025</v>
      </c>
      <c r="B1077" s="4" t="str">
        <f>"Tools2go Videoproduktion mit dem Smartphone"</f>
        <v>Tools2go Videoproduktion mit dem Smartphone</v>
      </c>
      <c r="C1077" s="5">
        <v>45705</v>
      </c>
      <c r="D1077" s="5">
        <v>45705</v>
      </c>
      <c r="E1077" s="4" t="str">
        <f>"1 Tag"</f>
        <v>1 Tag</v>
      </c>
      <c r="F1077" s="6">
        <v>420</v>
      </c>
      <c r="G1077" s="4" t="s">
        <v>17</v>
      </c>
      <c r="H1077" s="4" t="s">
        <v>11</v>
      </c>
    </row>
    <row r="1078" spans="1:8" x14ac:dyDescent="0.2">
      <c r="A1078" s="4" t="str">
        <f>"21.110/001/2025"</f>
        <v>21.110/001/2025</v>
      </c>
      <c r="B1078" s="4" t="str">
        <f>"ComIn NRW - Compliance und Integrität in der Landesverwaltung NRW - online"</f>
        <v>ComIn NRW - Compliance und Integrität in der Landesverwaltung NRW - online</v>
      </c>
      <c r="C1078" s="5">
        <v>45684</v>
      </c>
      <c r="D1078" s="5">
        <v>45685</v>
      </c>
      <c r="E1078" s="4" t="str">
        <f>"2 Tage"</f>
        <v>2 Tage</v>
      </c>
      <c r="F1078" s="6">
        <v>440</v>
      </c>
      <c r="G1078" s="4" t="str">
        <f>"Führungsfortbildung"</f>
        <v>Führungsfortbildung</v>
      </c>
      <c r="H1078" s="4" t="s">
        <v>11</v>
      </c>
    </row>
    <row r="1079" spans="1:8" x14ac:dyDescent="0.2">
      <c r="A1079" s="4" t="str">
        <f>"21.110/002/2025"</f>
        <v>21.110/002/2025</v>
      </c>
      <c r="B1079" s="4" t="str">
        <f>"ComIn NRW - Compliance und Integrität in der Landesverwaltung NRW - online"</f>
        <v>ComIn NRW - Compliance und Integrität in der Landesverwaltung NRW - online</v>
      </c>
      <c r="C1079" s="5">
        <v>45792</v>
      </c>
      <c r="D1079" s="5">
        <v>45793</v>
      </c>
      <c r="E1079" s="4" t="str">
        <f>"2 Tage"</f>
        <v>2 Tage</v>
      </c>
      <c r="F1079" s="6">
        <v>440</v>
      </c>
      <c r="G1079" s="4" t="str">
        <f>"Führungsfortbildung"</f>
        <v>Führungsfortbildung</v>
      </c>
      <c r="H1079" s="4" t="s">
        <v>11</v>
      </c>
    </row>
    <row r="1080" spans="1:8" x14ac:dyDescent="0.2">
      <c r="A1080" s="4" t="str">
        <f>"21.110/003/2025"</f>
        <v>21.110/003/2025</v>
      </c>
      <c r="B1080" s="4" t="str">
        <f>"ComIn NRW - Compliance und Integrität in der Landesverwaltung NRW - online"</f>
        <v>ComIn NRW - Compliance und Integrität in der Landesverwaltung NRW - online</v>
      </c>
      <c r="C1080" s="5">
        <v>45901</v>
      </c>
      <c r="D1080" s="5">
        <v>45902</v>
      </c>
      <c r="E1080" s="4" t="str">
        <f>"2 Tage"</f>
        <v>2 Tage</v>
      </c>
      <c r="F1080" s="6">
        <v>440</v>
      </c>
      <c r="G1080" s="4" t="str">
        <f>"Führungsfortbildung"</f>
        <v>Führungsfortbildung</v>
      </c>
      <c r="H1080" s="4" t="s">
        <v>11</v>
      </c>
    </row>
    <row r="1081" spans="1:8" x14ac:dyDescent="0.2">
      <c r="A1081" s="4" t="str">
        <f>"21.114/001/2025"</f>
        <v>21.114/001/2025</v>
      </c>
      <c r="B1081" s="4" t="str">
        <f t="shared" ref="B1081:B1092" si="90">"Führung I - Kommunikation und Führung - online"</f>
        <v>Führung I - Kommunikation und Führung - online</v>
      </c>
      <c r="C1081" s="5">
        <v>45677</v>
      </c>
      <c r="D1081" s="5">
        <v>45737</v>
      </c>
      <c r="E1081" s="4" t="str">
        <f>"3x3 Tage"</f>
        <v>3x3 Tage</v>
      </c>
      <c r="F1081" s="6">
        <v>1130</v>
      </c>
      <c r="G1081" s="4"/>
      <c r="H1081" s="4" t="s">
        <v>11</v>
      </c>
    </row>
    <row r="1082" spans="1:8" x14ac:dyDescent="0.2">
      <c r="A1082" s="4" t="str">
        <f>"21.114/001 a/2025"</f>
        <v>21.114/001 a/2025</v>
      </c>
      <c r="B1082" s="4" t="str">
        <f t="shared" si="90"/>
        <v>Führung I - Kommunikation und Führung - online</v>
      </c>
      <c r="C1082" s="5">
        <v>45677</v>
      </c>
      <c r="D1082" s="5">
        <v>45679</v>
      </c>
      <c r="E1082" s="4"/>
      <c r="F1082" s="6" t="s">
        <v>11</v>
      </c>
      <c r="G1082" s="4" t="str">
        <f>"Führungsfortbildung"</f>
        <v>Führungsfortbildung</v>
      </c>
      <c r="H1082" s="4" t="s">
        <v>11</v>
      </c>
    </row>
    <row r="1083" spans="1:8" x14ac:dyDescent="0.2">
      <c r="A1083" s="4" t="str">
        <f>"21.114/001 b/2025"</f>
        <v>21.114/001 b/2025</v>
      </c>
      <c r="B1083" s="4" t="str">
        <f t="shared" si="90"/>
        <v>Führung I - Kommunikation und Führung - online</v>
      </c>
      <c r="C1083" s="5">
        <v>45712</v>
      </c>
      <c r="D1083" s="5">
        <v>45714</v>
      </c>
      <c r="E1083" s="4"/>
      <c r="F1083" s="6" t="s">
        <v>11</v>
      </c>
      <c r="G1083" s="4" t="str">
        <f>"Führungsfortbildung"</f>
        <v>Führungsfortbildung</v>
      </c>
      <c r="H1083" s="4" t="s">
        <v>11</v>
      </c>
    </row>
    <row r="1084" spans="1:8" x14ac:dyDescent="0.2">
      <c r="A1084" s="4" t="str">
        <f>"21.114/001 c/2025"</f>
        <v>21.114/001 c/2025</v>
      </c>
      <c r="B1084" s="4" t="str">
        <f t="shared" si="90"/>
        <v>Führung I - Kommunikation und Führung - online</v>
      </c>
      <c r="C1084" s="5">
        <v>45735</v>
      </c>
      <c r="D1084" s="5">
        <v>45737</v>
      </c>
      <c r="E1084" s="4"/>
      <c r="F1084" s="6" t="s">
        <v>11</v>
      </c>
      <c r="G1084" s="4" t="str">
        <f>"Führungsfortbildung"</f>
        <v>Führungsfortbildung</v>
      </c>
      <c r="H1084" s="4" t="s">
        <v>11</v>
      </c>
    </row>
    <row r="1085" spans="1:8" x14ac:dyDescent="0.2">
      <c r="A1085" s="4" t="str">
        <f>"21.114/002/2025"</f>
        <v>21.114/002/2025</v>
      </c>
      <c r="B1085" s="4" t="str">
        <f t="shared" si="90"/>
        <v>Führung I - Kommunikation und Führung - online</v>
      </c>
      <c r="C1085" s="5">
        <v>45819</v>
      </c>
      <c r="D1085" s="5">
        <v>45919</v>
      </c>
      <c r="E1085" s="4" t="str">
        <f>"3x3 Tage"</f>
        <v>3x3 Tage</v>
      </c>
      <c r="F1085" s="6">
        <v>1130</v>
      </c>
      <c r="G1085" s="4"/>
      <c r="H1085" s="4" t="s">
        <v>11</v>
      </c>
    </row>
    <row r="1086" spans="1:8" x14ac:dyDescent="0.2">
      <c r="A1086" s="4" t="str">
        <f>"21.114/002 a/2025"</f>
        <v>21.114/002 a/2025</v>
      </c>
      <c r="B1086" s="4" t="str">
        <f t="shared" si="90"/>
        <v>Führung I - Kommunikation und Führung - online</v>
      </c>
      <c r="C1086" s="5">
        <v>45819</v>
      </c>
      <c r="D1086" s="5">
        <v>45821</v>
      </c>
      <c r="E1086" s="4"/>
      <c r="F1086" s="6" t="s">
        <v>11</v>
      </c>
      <c r="G1086" s="4" t="str">
        <f>"Führungsfortbildung"</f>
        <v>Führungsfortbildung</v>
      </c>
      <c r="H1086" s="4" t="s">
        <v>11</v>
      </c>
    </row>
    <row r="1087" spans="1:8" x14ac:dyDescent="0.2">
      <c r="A1087" s="4" t="str">
        <f>"21.114/002 b/2025"</f>
        <v>21.114/002 b/2025</v>
      </c>
      <c r="B1087" s="4" t="str">
        <f t="shared" si="90"/>
        <v>Führung I - Kommunikation und Führung - online</v>
      </c>
      <c r="C1087" s="5">
        <v>45896</v>
      </c>
      <c r="D1087" s="5">
        <v>45898</v>
      </c>
      <c r="E1087" s="4"/>
      <c r="F1087" s="6" t="s">
        <v>11</v>
      </c>
      <c r="G1087" s="4" t="str">
        <f>"Führungsfortbildung"</f>
        <v>Führungsfortbildung</v>
      </c>
      <c r="H1087" s="4" t="s">
        <v>11</v>
      </c>
    </row>
    <row r="1088" spans="1:8" x14ac:dyDescent="0.2">
      <c r="A1088" s="4" t="str">
        <f>"21.114/002 c/2025"</f>
        <v>21.114/002 c/2025</v>
      </c>
      <c r="B1088" s="4" t="str">
        <f t="shared" si="90"/>
        <v>Führung I - Kommunikation und Führung - online</v>
      </c>
      <c r="C1088" s="5">
        <v>45917</v>
      </c>
      <c r="D1088" s="5">
        <v>45919</v>
      </c>
      <c r="E1088" s="4"/>
      <c r="F1088" s="6" t="s">
        <v>11</v>
      </c>
      <c r="G1088" s="4" t="str">
        <f>"Führungsfortbildung"</f>
        <v>Führungsfortbildung</v>
      </c>
      <c r="H1088" s="4" t="s">
        <v>11</v>
      </c>
    </row>
    <row r="1089" spans="1:8" x14ac:dyDescent="0.2">
      <c r="A1089" s="4" t="str">
        <f>"21.114/003/2025"</f>
        <v>21.114/003/2025</v>
      </c>
      <c r="B1089" s="4" t="str">
        <f t="shared" si="90"/>
        <v>Führung I - Kommunikation und Führung - online</v>
      </c>
      <c r="C1089" s="5">
        <v>45936</v>
      </c>
      <c r="D1089" s="5">
        <v>46001</v>
      </c>
      <c r="E1089" s="4" t="str">
        <f>"3x3 Tage"</f>
        <v>3x3 Tage</v>
      </c>
      <c r="F1089" s="6">
        <v>1130</v>
      </c>
      <c r="G1089" s="4"/>
      <c r="H1089" s="4" t="s">
        <v>11</v>
      </c>
    </row>
    <row r="1090" spans="1:8" x14ac:dyDescent="0.2">
      <c r="A1090" s="4" t="str">
        <f>"21.114/003 a/2025"</f>
        <v>21.114/003 a/2025</v>
      </c>
      <c r="B1090" s="4" t="str">
        <f t="shared" si="90"/>
        <v>Führung I - Kommunikation und Führung - online</v>
      </c>
      <c r="C1090" s="5">
        <v>45936</v>
      </c>
      <c r="D1090" s="5">
        <v>45938</v>
      </c>
      <c r="E1090" s="4"/>
      <c r="F1090" s="6" t="s">
        <v>11</v>
      </c>
      <c r="G1090" s="4" t="str">
        <f>"Führungsfortbildung"</f>
        <v>Führungsfortbildung</v>
      </c>
      <c r="H1090" s="4" t="s">
        <v>11</v>
      </c>
    </row>
    <row r="1091" spans="1:8" x14ac:dyDescent="0.2">
      <c r="A1091" s="4" t="str">
        <f>"21.114/003 b/2025"</f>
        <v>21.114/003 b/2025</v>
      </c>
      <c r="B1091" s="4" t="str">
        <f t="shared" si="90"/>
        <v>Führung I - Kommunikation und Führung - online</v>
      </c>
      <c r="C1091" s="5">
        <v>45966</v>
      </c>
      <c r="D1091" s="5">
        <v>45968</v>
      </c>
      <c r="E1091" s="4"/>
      <c r="F1091" s="6" t="s">
        <v>11</v>
      </c>
      <c r="G1091" s="4" t="str">
        <f>"Führungsfortbildung"</f>
        <v>Führungsfortbildung</v>
      </c>
      <c r="H1091" s="4" t="s">
        <v>11</v>
      </c>
    </row>
    <row r="1092" spans="1:8" x14ac:dyDescent="0.2">
      <c r="A1092" s="4" t="str">
        <f>"21.114/003 c/2025"</f>
        <v>21.114/003 c/2025</v>
      </c>
      <c r="B1092" s="4" t="str">
        <f t="shared" si="90"/>
        <v>Führung I - Kommunikation und Führung - online</v>
      </c>
      <c r="C1092" s="5">
        <v>45999</v>
      </c>
      <c r="D1092" s="5">
        <v>46001</v>
      </c>
      <c r="E1092" s="4"/>
      <c r="F1092" s="6" t="s">
        <v>11</v>
      </c>
      <c r="G1092" s="4" t="str">
        <f>"Führungsfortbildung"</f>
        <v>Führungsfortbildung</v>
      </c>
      <c r="H1092" s="4" t="s">
        <v>11</v>
      </c>
    </row>
    <row r="1093" spans="1:8" x14ac:dyDescent="0.2">
      <c r="A1093" s="4" t="str">
        <f>"21.120/001/2025"</f>
        <v>21.120/001/2025</v>
      </c>
      <c r="B1093" s="4" t="str">
        <f>"Führung II - Führung in der Hierarchie - online"</f>
        <v>Führung II - Führung in der Hierarchie - online</v>
      </c>
      <c r="C1093" s="5">
        <v>45803</v>
      </c>
      <c r="D1093" s="5">
        <v>45826</v>
      </c>
      <c r="E1093" s="4" t="str">
        <f>"2x3 Tage"</f>
        <v>2x3 Tage</v>
      </c>
      <c r="F1093" s="6">
        <v>980</v>
      </c>
      <c r="G1093" s="4"/>
      <c r="H1093" s="4" t="s">
        <v>11</v>
      </c>
    </row>
    <row r="1094" spans="1:8" x14ac:dyDescent="0.2">
      <c r="A1094" s="4" t="str">
        <f>"21.120/001 a/2025"</f>
        <v>21.120/001 a/2025</v>
      </c>
      <c r="B1094" s="4" t="str">
        <f>"Führung II - Führung in der Hierarchie - online"</f>
        <v>Führung II - Führung in der Hierarchie - online</v>
      </c>
      <c r="C1094" s="5">
        <v>45803</v>
      </c>
      <c r="D1094" s="5">
        <v>45805</v>
      </c>
      <c r="E1094" s="4"/>
      <c r="F1094" s="6" t="s">
        <v>11</v>
      </c>
      <c r="G1094" s="4" t="str">
        <f>"Führungsfortbildung"</f>
        <v>Führungsfortbildung</v>
      </c>
      <c r="H1094" s="4" t="s">
        <v>11</v>
      </c>
    </row>
    <row r="1095" spans="1:8" x14ac:dyDescent="0.2">
      <c r="A1095" s="4" t="str">
        <f>"21.120/001 b/2025"</f>
        <v>21.120/001 b/2025</v>
      </c>
      <c r="B1095" s="4" t="str">
        <f>"Führung II - Führung in der Hierarchie - online"</f>
        <v>Führung II - Führung in der Hierarchie - online</v>
      </c>
      <c r="C1095" s="5">
        <v>45824</v>
      </c>
      <c r="D1095" s="5">
        <v>45826</v>
      </c>
      <c r="E1095" s="4"/>
      <c r="F1095" s="6" t="s">
        <v>11</v>
      </c>
      <c r="G1095" s="4" t="str">
        <f>"Führungsfortbildung"</f>
        <v>Führungsfortbildung</v>
      </c>
      <c r="H1095" s="4" t="s">
        <v>11</v>
      </c>
    </row>
    <row r="1096" spans="1:8" x14ac:dyDescent="0.2">
      <c r="A1096" s="4" t="str">
        <f>"21.121/001/2025"</f>
        <v>21.121/001/2025</v>
      </c>
      <c r="B1096" s="4" t="str">
        <f>"Führung II - Laterale Führung - online"</f>
        <v>Führung II - Laterale Führung - online</v>
      </c>
      <c r="C1096" s="5">
        <v>45782</v>
      </c>
      <c r="D1096" s="5">
        <v>45805</v>
      </c>
      <c r="E1096" s="4" t="str">
        <f>"2x3 Tage"</f>
        <v>2x3 Tage</v>
      </c>
      <c r="F1096" s="6">
        <v>980</v>
      </c>
      <c r="G1096" s="4"/>
      <c r="H1096" s="4" t="s">
        <v>11</v>
      </c>
    </row>
    <row r="1097" spans="1:8" x14ac:dyDescent="0.2">
      <c r="A1097" s="4" t="str">
        <f>"21.121/001 a/2025"</f>
        <v>21.121/001 a/2025</v>
      </c>
      <c r="B1097" s="4" t="str">
        <f>"Führung II - Laterale Führung - online"</f>
        <v>Führung II - Laterale Führung - online</v>
      </c>
      <c r="C1097" s="5">
        <v>45782</v>
      </c>
      <c r="D1097" s="5">
        <v>45784</v>
      </c>
      <c r="E1097" s="4"/>
      <c r="F1097" s="6" t="s">
        <v>11</v>
      </c>
      <c r="G1097" s="4" t="str">
        <f>"Führungsfortbildung"</f>
        <v>Führungsfortbildung</v>
      </c>
      <c r="H1097" s="4" t="s">
        <v>11</v>
      </c>
    </row>
    <row r="1098" spans="1:8" x14ac:dyDescent="0.2">
      <c r="A1098" s="4" t="str">
        <f>"21.121/001 b/2025"</f>
        <v>21.121/001 b/2025</v>
      </c>
      <c r="B1098" s="4" t="str">
        <f>"Führung II - Laterale Führung - online"</f>
        <v>Führung II - Laterale Führung - online</v>
      </c>
      <c r="C1098" s="5">
        <v>45803</v>
      </c>
      <c r="D1098" s="5">
        <v>45805</v>
      </c>
      <c r="E1098" s="4"/>
      <c r="F1098" s="6" t="s">
        <v>11</v>
      </c>
      <c r="G1098" s="4" t="str">
        <f>"Führungsfortbildung"</f>
        <v>Führungsfortbildung</v>
      </c>
      <c r="H1098" s="4" t="s">
        <v>11</v>
      </c>
    </row>
    <row r="1099" spans="1:8" x14ac:dyDescent="0.2">
      <c r="A1099" s="4" t="str">
        <f>"21.124/001/2025"</f>
        <v>21.124/001/2025</v>
      </c>
      <c r="B1099" s="4" t="str">
        <f>"Führung III - Führung und Zusammenarbeit - online"</f>
        <v>Führung III - Führung und Zusammenarbeit - online</v>
      </c>
      <c r="C1099" s="5">
        <v>45782</v>
      </c>
      <c r="D1099" s="5">
        <v>45812</v>
      </c>
      <c r="E1099" s="4" t="str">
        <f>"2x3 Tage"</f>
        <v>2x3 Tage</v>
      </c>
      <c r="F1099" s="6">
        <v>980</v>
      </c>
      <c r="G1099" s="4"/>
      <c r="H1099" s="4" t="s">
        <v>11</v>
      </c>
    </row>
    <row r="1100" spans="1:8" x14ac:dyDescent="0.2">
      <c r="A1100" s="4" t="str">
        <f>"21.124/001 a/2025"</f>
        <v>21.124/001 a/2025</v>
      </c>
      <c r="B1100" s="4" t="str">
        <f>"Führung III - Führung und Zusammenarbeit - online"</f>
        <v>Führung III - Führung und Zusammenarbeit - online</v>
      </c>
      <c r="C1100" s="5">
        <v>45782</v>
      </c>
      <c r="D1100" s="5">
        <v>45784</v>
      </c>
      <c r="E1100" s="4"/>
      <c r="F1100" s="6" t="s">
        <v>11</v>
      </c>
      <c r="G1100" s="4" t="str">
        <f t="shared" ref="G1100:G1105" si="91">"Führungsfortbildung"</f>
        <v>Führungsfortbildung</v>
      </c>
      <c r="H1100" s="4" t="s">
        <v>11</v>
      </c>
    </row>
    <row r="1101" spans="1:8" x14ac:dyDescent="0.2">
      <c r="A1101" s="4" t="str">
        <f>"21.124/001 b/2025"</f>
        <v>21.124/001 b/2025</v>
      </c>
      <c r="B1101" s="4" t="str">
        <f>"Führung III - Führung und Zusammenarbeit - online"</f>
        <v>Führung III - Führung und Zusammenarbeit - online</v>
      </c>
      <c r="C1101" s="5">
        <v>45810</v>
      </c>
      <c r="D1101" s="5">
        <v>45812</v>
      </c>
      <c r="E1101" s="4"/>
      <c r="F1101" s="6" t="s">
        <v>11</v>
      </c>
      <c r="G1101" s="4" t="str">
        <f t="shared" si="91"/>
        <v>Führungsfortbildung</v>
      </c>
      <c r="H1101" s="4" t="s">
        <v>11</v>
      </c>
    </row>
    <row r="1102" spans="1:8" x14ac:dyDescent="0.2">
      <c r="A1102" s="4" t="str">
        <f>"21.215/001/2025"</f>
        <v>21.215/001/2025</v>
      </c>
      <c r="B1102" s="4" t="str">
        <f>"Führen über räumliche Distanz für Führungskräfte der LG 2.2 - Online"</f>
        <v>Führen über räumliche Distanz für Führungskräfte der LG 2.2 - Online</v>
      </c>
      <c r="C1102" s="5">
        <v>45708</v>
      </c>
      <c r="D1102" s="5">
        <v>45709</v>
      </c>
      <c r="E1102" s="4" t="str">
        <f>"2 Tage "</f>
        <v xml:space="preserve">2 Tage </v>
      </c>
      <c r="F1102" s="6">
        <v>330</v>
      </c>
      <c r="G1102" s="4" t="str">
        <f t="shared" si="91"/>
        <v>Führungsfortbildung</v>
      </c>
      <c r="H1102" s="4" t="s">
        <v>11</v>
      </c>
    </row>
    <row r="1103" spans="1:8" x14ac:dyDescent="0.2">
      <c r="A1103" s="4" t="str">
        <f>"21.215/002/2025"</f>
        <v>21.215/002/2025</v>
      </c>
      <c r="B1103" s="4" t="str">
        <f>"Führen über räumliche Distanz für Führungskräfte der LG 2.2 - Online"</f>
        <v>Führen über räumliche Distanz für Führungskräfte der LG 2.2 - Online</v>
      </c>
      <c r="C1103" s="5">
        <v>45909</v>
      </c>
      <c r="D1103" s="5">
        <v>45910</v>
      </c>
      <c r="E1103" s="4" t="str">
        <f>"2 Tage "</f>
        <v xml:space="preserve">2 Tage </v>
      </c>
      <c r="F1103" s="6">
        <v>330</v>
      </c>
      <c r="G1103" s="4" t="str">
        <f t="shared" si="91"/>
        <v>Führungsfortbildung</v>
      </c>
      <c r="H1103" s="4" t="s">
        <v>11</v>
      </c>
    </row>
    <row r="1104" spans="1:8" x14ac:dyDescent="0.2">
      <c r="A1104" s="4" t="str">
        <f>"21.415/001/2025"</f>
        <v>21.415/001/2025</v>
      </c>
      <c r="B1104" s="4" t="str">
        <f>"Führen in der neuen Arbeitswelt - online"</f>
        <v>Führen in der neuen Arbeitswelt - online</v>
      </c>
      <c r="C1104" s="5">
        <v>45930</v>
      </c>
      <c r="D1104" s="5">
        <v>45931</v>
      </c>
      <c r="E1104" s="4" t="str">
        <f>"2 Tage"</f>
        <v>2 Tage</v>
      </c>
      <c r="F1104" s="6">
        <v>330</v>
      </c>
      <c r="G1104" s="4" t="str">
        <f t="shared" si="91"/>
        <v>Führungsfortbildung</v>
      </c>
      <c r="H1104" s="4" t="s">
        <v>11</v>
      </c>
    </row>
    <row r="1105" spans="1:8" x14ac:dyDescent="0.2">
      <c r="A1105" s="4" t="str">
        <f>"21.445/001/2025"</f>
        <v>21.445/001/2025</v>
      </c>
      <c r="B1105" s="4" t="str">
        <f>"Führen in der Sandwichposition - online"</f>
        <v>Führen in der Sandwichposition - online</v>
      </c>
      <c r="C1105" s="5">
        <v>45960</v>
      </c>
      <c r="D1105" s="5">
        <v>45961</v>
      </c>
      <c r="E1105" s="4" t="str">
        <f>"3 Tage"</f>
        <v>3 Tage</v>
      </c>
      <c r="F1105" s="6">
        <v>490</v>
      </c>
      <c r="G1105" s="4" t="str">
        <f t="shared" si="91"/>
        <v>Führungsfortbildung</v>
      </c>
      <c r="H1105" s="4" t="s">
        <v>11</v>
      </c>
    </row>
    <row r="1106" spans="1:8" x14ac:dyDescent="0.2">
      <c r="A1106" s="4" t="str">
        <f>"22.138/001/2025"</f>
        <v>22.138/001/2025</v>
      </c>
      <c r="B1106" s="4" t="str">
        <f>"Vereinbarkeit von Beruf und Pflege in der Verwaltung - online"</f>
        <v>Vereinbarkeit von Beruf und Pflege in der Verwaltung - online</v>
      </c>
      <c r="C1106" s="5">
        <v>45698</v>
      </c>
      <c r="D1106" s="5">
        <v>45699</v>
      </c>
      <c r="E1106" s="4" t="str">
        <f t="shared" ref="E1106:E1116" si="92">"2 Tage"</f>
        <v>2 Tage</v>
      </c>
      <c r="F1106" s="6">
        <v>330</v>
      </c>
      <c r="G1106" s="4" t="s">
        <v>18</v>
      </c>
      <c r="H1106" s="4" t="s">
        <v>11</v>
      </c>
    </row>
    <row r="1107" spans="1:8" x14ac:dyDescent="0.2">
      <c r="A1107" s="4" t="str">
        <f>"22.234/001/2025"</f>
        <v>22.234/001/2025</v>
      </c>
      <c r="B1107" s="4" t="str">
        <f>"Gesunde Führung - neue Gestaltungsspielräume für Führungskräfte - online"</f>
        <v>Gesunde Führung - neue Gestaltungsspielräume für Führungskräfte - online</v>
      </c>
      <c r="C1107" s="5">
        <v>45699</v>
      </c>
      <c r="D1107" s="5">
        <v>45700</v>
      </c>
      <c r="E1107" s="4" t="str">
        <f t="shared" si="92"/>
        <v>2 Tage</v>
      </c>
      <c r="F1107" s="6">
        <v>330</v>
      </c>
      <c r="G1107" s="4" t="s">
        <v>18</v>
      </c>
      <c r="H1107" s="4" t="s">
        <v>11</v>
      </c>
    </row>
    <row r="1108" spans="1:8" x14ac:dyDescent="0.2">
      <c r="A1108" s="4" t="str">
        <f>"22.234/002/2025"</f>
        <v>22.234/002/2025</v>
      </c>
      <c r="B1108" s="4" t="str">
        <f>"Gesunde Führung - neue Gestaltungsspielräume für Führungskräfte - online"</f>
        <v>Gesunde Führung - neue Gestaltungsspielräume für Führungskräfte - online</v>
      </c>
      <c r="C1108" s="5">
        <v>45988</v>
      </c>
      <c r="D1108" s="5">
        <v>45989</v>
      </c>
      <c r="E1108" s="4" t="str">
        <f t="shared" si="92"/>
        <v>2 Tage</v>
      </c>
      <c r="F1108" s="6">
        <v>330</v>
      </c>
      <c r="G1108" s="4" t="s">
        <v>18</v>
      </c>
      <c r="H1108" s="4" t="s">
        <v>11</v>
      </c>
    </row>
    <row r="1109" spans="1:8" x14ac:dyDescent="0.2">
      <c r="A1109" s="4" t="str">
        <f>"22.236/001/2025"</f>
        <v>22.236/001/2025</v>
      </c>
      <c r="B1109" s="4" t="str">
        <f>"Do Care - Gesund führen - sich und andere(c) - online"</f>
        <v>Do Care - Gesund führen - sich und andere(c) - online</v>
      </c>
      <c r="C1109" s="5">
        <v>45754</v>
      </c>
      <c r="D1109" s="5">
        <v>45755</v>
      </c>
      <c r="E1109" s="4" t="str">
        <f t="shared" si="92"/>
        <v>2 Tage</v>
      </c>
      <c r="F1109" s="6">
        <v>330</v>
      </c>
      <c r="G1109" s="4" t="s">
        <v>18</v>
      </c>
      <c r="H1109" s="4" t="s">
        <v>11</v>
      </c>
    </row>
    <row r="1110" spans="1:8" x14ac:dyDescent="0.2">
      <c r="A1110" s="4" t="str">
        <f>"22.360/001/2025"</f>
        <v>22.360/001/2025</v>
      </c>
      <c r="B1110" s="4" t="str">
        <f>"Aus der Praxis für die Praxis: Gesund und fit bei der Büroarbeit - online"</f>
        <v>Aus der Praxis für die Praxis: Gesund und fit bei der Büroarbeit - online</v>
      </c>
      <c r="C1110" s="5">
        <v>45722</v>
      </c>
      <c r="D1110" s="5">
        <v>45723</v>
      </c>
      <c r="E1110" s="4" t="str">
        <f t="shared" si="92"/>
        <v>2 Tage</v>
      </c>
      <c r="F1110" s="6">
        <v>590</v>
      </c>
      <c r="G1110" s="4" t="str">
        <f>"Fachübergreifendes Seminar"</f>
        <v>Fachübergreifendes Seminar</v>
      </c>
      <c r="H1110" s="4" t="s">
        <v>11</v>
      </c>
    </row>
    <row r="1111" spans="1:8" x14ac:dyDescent="0.2">
      <c r="A1111" s="4" t="str">
        <f>"22.365/001/2025"</f>
        <v>22.365/001/2025</v>
      </c>
      <c r="B1111" s="4" t="str">
        <f>"Geistige und körperliche Fitness - online"</f>
        <v>Geistige und körperliche Fitness - online</v>
      </c>
      <c r="C1111" s="5">
        <v>45687</v>
      </c>
      <c r="D1111" s="5">
        <v>45688</v>
      </c>
      <c r="E1111" s="4" t="str">
        <f t="shared" si="92"/>
        <v>2 Tage</v>
      </c>
      <c r="F1111" s="6">
        <v>330</v>
      </c>
      <c r="G1111" s="4" t="str">
        <f>"Fachübergreifendes Seminar"</f>
        <v>Fachübergreifendes Seminar</v>
      </c>
      <c r="H1111" s="4" t="s">
        <v>11</v>
      </c>
    </row>
    <row r="1112" spans="1:8" x14ac:dyDescent="0.2">
      <c r="A1112" s="4" t="str">
        <f>"22.435/001/2025"</f>
        <v>22.435/001/2025</v>
      </c>
      <c r="B1112" s="4" t="str">
        <f>"Resilienz - kontinuierlich und nachhaltig an der eigenen inneren Stärke arbeiten - online"</f>
        <v>Resilienz - kontinuierlich und nachhaltig an der eigenen inneren Stärke arbeiten - online</v>
      </c>
      <c r="C1112" s="5">
        <v>45665</v>
      </c>
      <c r="D1112" s="5">
        <v>45666</v>
      </c>
      <c r="E1112" s="4" t="str">
        <f t="shared" si="92"/>
        <v>2 Tage</v>
      </c>
      <c r="F1112" s="6">
        <v>330</v>
      </c>
      <c r="G1112" s="4" t="str">
        <f>"Fachübergreifendes Seminar"</f>
        <v>Fachübergreifendes Seminar</v>
      </c>
      <c r="H1112" s="4" t="s">
        <v>11</v>
      </c>
    </row>
    <row r="1113" spans="1:8" x14ac:dyDescent="0.2">
      <c r="A1113" s="4" t="str">
        <f>"22.460/001/2025"</f>
        <v>22.460/001/2025</v>
      </c>
      <c r="B1113" s="4" t="str">
        <f>"Löwenstark - resilient durch turbulente Zeiten - online"</f>
        <v>Löwenstark - resilient durch turbulente Zeiten - online</v>
      </c>
      <c r="C1113" s="5">
        <v>45721</v>
      </c>
      <c r="D1113" s="5">
        <v>45722</v>
      </c>
      <c r="E1113" s="4" t="str">
        <f t="shared" si="92"/>
        <v>2 Tage</v>
      </c>
      <c r="F1113" s="6">
        <v>330</v>
      </c>
      <c r="G1113" s="4" t="s">
        <v>17</v>
      </c>
      <c r="H1113" s="4" t="s">
        <v>11</v>
      </c>
    </row>
    <row r="1114" spans="1:8" x14ac:dyDescent="0.2">
      <c r="A1114" s="4" t="str">
        <f>"22.460/002/2025"</f>
        <v>22.460/002/2025</v>
      </c>
      <c r="B1114" s="4" t="str">
        <f>"Löwenstark - resilient durch turbulente Zeiten - online"</f>
        <v>Löwenstark - resilient durch turbulente Zeiten - online</v>
      </c>
      <c r="C1114" s="5">
        <v>45971</v>
      </c>
      <c r="D1114" s="5">
        <v>45972</v>
      </c>
      <c r="E1114" s="4" t="str">
        <f t="shared" si="92"/>
        <v>2 Tage</v>
      </c>
      <c r="F1114" s="6">
        <v>330</v>
      </c>
      <c r="G1114" s="4" t="s">
        <v>17</v>
      </c>
      <c r="H1114" s="4" t="s">
        <v>11</v>
      </c>
    </row>
    <row r="1115" spans="1:8" x14ac:dyDescent="0.2">
      <c r="A1115" s="4" t="str">
        <f>"22.470/001/2025"</f>
        <v>22.470/001/2025</v>
      </c>
      <c r="B1115" s="4" t="str">
        <f>"Die Macht der Verantwortung - wie man Kontrolle über sein Leben zurückgewinnt und behält - online"</f>
        <v>Die Macht der Verantwortung - wie man Kontrolle über sein Leben zurückgewinnt und behält - online</v>
      </c>
      <c r="C1115" s="5">
        <v>45957</v>
      </c>
      <c r="D1115" s="5">
        <v>45958</v>
      </c>
      <c r="E1115" s="4" t="str">
        <f t="shared" si="92"/>
        <v>2 Tage</v>
      </c>
      <c r="F1115" s="6">
        <v>260</v>
      </c>
      <c r="G1115" s="4" t="s">
        <v>17</v>
      </c>
      <c r="H1115" s="4" t="s">
        <v>11</v>
      </c>
    </row>
    <row r="1116" spans="1:8" x14ac:dyDescent="0.2">
      <c r="A1116" s="4" t="str">
        <f>"22.612/001/2025"</f>
        <v>22.612/001/2025</v>
      </c>
      <c r="B1116" s="4" t="str">
        <f>"Gelassen im Beruf durch Gelassenheit in der Familie - innerfamiliäre Kommunikation und die Auswirkungen auf den beruflichen Alltag - online"</f>
        <v>Gelassen im Beruf durch Gelassenheit in der Familie - innerfamiliäre Kommunikation und die Auswirkungen auf den beruflichen Alltag - online</v>
      </c>
      <c r="C1116" s="5">
        <v>45670</v>
      </c>
      <c r="D1116" s="5">
        <v>45671</v>
      </c>
      <c r="E1116" s="4" t="str">
        <f t="shared" si="92"/>
        <v>2 Tage</v>
      </c>
      <c r="F1116" s="6">
        <v>410</v>
      </c>
      <c r="G1116" s="4" t="s">
        <v>17</v>
      </c>
      <c r="H1116" s="4" t="s">
        <v>11</v>
      </c>
    </row>
    <row r="1117" spans="1:8" x14ac:dyDescent="0.2">
      <c r="A1117" s="4" t="str">
        <f>"22.910/001/2025"</f>
        <v>22.910/001/2025</v>
      </c>
      <c r="B1117" s="4" t="str">
        <f>"Neue Arbeitsformen - wie mobile Arbeit gesundheitsförderlich gelingt - online"</f>
        <v>Neue Arbeitsformen - wie mobile Arbeit gesundheitsförderlich gelingt - online</v>
      </c>
      <c r="C1117" s="5">
        <v>45967</v>
      </c>
      <c r="D1117" s="5">
        <v>45967</v>
      </c>
      <c r="E1117" s="4" t="str">
        <f t="shared" ref="E1117:E1124" si="93">"2 Stunden"</f>
        <v>2 Stunden</v>
      </c>
      <c r="F1117" s="6">
        <v>80</v>
      </c>
      <c r="G1117" s="4" t="s">
        <v>17</v>
      </c>
      <c r="H1117" s="4" t="s">
        <v>11</v>
      </c>
    </row>
    <row r="1118" spans="1:8" x14ac:dyDescent="0.2">
      <c r="A1118" s="4" t="str">
        <f>"22.911/001/2025"</f>
        <v>22.911/001/2025</v>
      </c>
      <c r="B1118" s="4" t="str">
        <f>"Präsentismus - Hintergründe und mögliche Lösungsansätze - online"</f>
        <v>Präsentismus - Hintergründe und mögliche Lösungsansätze - online</v>
      </c>
      <c r="C1118" s="5">
        <v>45737</v>
      </c>
      <c r="D1118" s="5">
        <v>45737</v>
      </c>
      <c r="E1118" s="4" t="str">
        <f t="shared" si="93"/>
        <v>2 Stunden</v>
      </c>
      <c r="F1118" s="6">
        <v>80</v>
      </c>
      <c r="G1118" s="4" t="s">
        <v>17</v>
      </c>
      <c r="H1118" s="4" t="s">
        <v>11</v>
      </c>
    </row>
    <row r="1119" spans="1:8" x14ac:dyDescent="0.2">
      <c r="A1119" s="4" t="str">
        <f>"22.912/001/2025"</f>
        <v>22.912/001/2025</v>
      </c>
      <c r="B1119" s="4" t="str">
        <f>"Sucht am Arbeitsplatz - die unterschätzte Gefahr? - online"</f>
        <v>Sucht am Arbeitsplatz - die unterschätzte Gefahr? - online</v>
      </c>
      <c r="C1119" s="5">
        <v>45673</v>
      </c>
      <c r="D1119" s="5">
        <v>45673</v>
      </c>
      <c r="E1119" s="4" t="str">
        <f t="shared" si="93"/>
        <v>2 Stunden</v>
      </c>
      <c r="F1119" s="6">
        <v>80</v>
      </c>
      <c r="G1119" s="4" t="s">
        <v>17</v>
      </c>
      <c r="H1119" s="4" t="s">
        <v>11</v>
      </c>
    </row>
    <row r="1120" spans="1:8" x14ac:dyDescent="0.2">
      <c r="A1120" s="4" t="str">
        <f>"22.913/001/2025"</f>
        <v>22.913/001/2025</v>
      </c>
      <c r="B1120" s="4" t="str">
        <f>"Mimikresonanz und Gesundheit - online"</f>
        <v>Mimikresonanz und Gesundheit - online</v>
      </c>
      <c r="C1120" s="5">
        <v>45898</v>
      </c>
      <c r="D1120" s="5">
        <v>45898</v>
      </c>
      <c r="E1120" s="4" t="str">
        <f t="shared" si="93"/>
        <v>2 Stunden</v>
      </c>
      <c r="F1120" s="6">
        <v>80</v>
      </c>
      <c r="G1120" s="4" t="s">
        <v>17</v>
      </c>
      <c r="H1120" s="4" t="s">
        <v>11</v>
      </c>
    </row>
    <row r="1121" spans="1:8" x14ac:dyDescent="0.2">
      <c r="A1121" s="4" t="str">
        <f>"22.914/001/2025"</f>
        <v>22.914/001/2025</v>
      </c>
      <c r="B1121" s="4" t="str">
        <f>"Funke, Feuer, Burnout? Burnout - Risiken frühzeitig erkennen - online"</f>
        <v>Funke, Feuer, Burnout? Burnout - Risiken frühzeitig erkennen - online</v>
      </c>
      <c r="C1121" s="5">
        <v>45905</v>
      </c>
      <c r="D1121" s="5">
        <v>45905</v>
      </c>
      <c r="E1121" s="4" t="str">
        <f t="shared" si="93"/>
        <v>2 Stunden</v>
      </c>
      <c r="F1121" s="6">
        <v>80</v>
      </c>
      <c r="G1121" s="4" t="s">
        <v>17</v>
      </c>
      <c r="H1121" s="4" t="s">
        <v>11</v>
      </c>
    </row>
    <row r="1122" spans="1:8" x14ac:dyDescent="0.2">
      <c r="A1122" s="4" t="str">
        <f>"22.915/001/2025"</f>
        <v>22.915/001/2025</v>
      </c>
      <c r="B1122" s="4" t="str">
        <f>"Resilienz kompakt - online"</f>
        <v>Resilienz kompakt - online</v>
      </c>
      <c r="C1122" s="5">
        <v>45989</v>
      </c>
      <c r="D1122" s="5">
        <v>45989</v>
      </c>
      <c r="E1122" s="4" t="str">
        <f t="shared" si="93"/>
        <v>2 Stunden</v>
      </c>
      <c r="F1122" s="6">
        <v>80</v>
      </c>
      <c r="G1122" s="4" t="s">
        <v>17</v>
      </c>
      <c r="H1122" s="4" t="s">
        <v>11</v>
      </c>
    </row>
    <row r="1123" spans="1:8" x14ac:dyDescent="0.2">
      <c r="A1123" s="4" t="str">
        <f>"22.917/001/2025"</f>
        <v>22.917/001/2025</v>
      </c>
      <c r="B1123" s="4" t="str">
        <f>"Der Angst begegnen - in Krisenzeiten Gelassenheit im Beruf und Alltag bewahren - online"</f>
        <v>Der Angst begegnen - in Krisenzeiten Gelassenheit im Beruf und Alltag bewahren - online</v>
      </c>
      <c r="C1123" s="5">
        <v>45681</v>
      </c>
      <c r="D1123" s="5">
        <v>45681</v>
      </c>
      <c r="E1123" s="4" t="str">
        <f t="shared" si="93"/>
        <v>2 Stunden</v>
      </c>
      <c r="F1123" s="6">
        <v>80</v>
      </c>
      <c r="G1123" s="4" t="s">
        <v>17</v>
      </c>
      <c r="H1123" s="4" t="s">
        <v>11</v>
      </c>
    </row>
    <row r="1124" spans="1:8" x14ac:dyDescent="0.2">
      <c r="A1124" s="4" t="str">
        <f>"22.918/001/2025"</f>
        <v>22.918/001/2025</v>
      </c>
      <c r="B1124" s="4" t="str">
        <f>"Burn-on: Immer Vollgas und kurz vor dem ausbrennen - online"</f>
        <v>Burn-on: Immer Vollgas und kurz vor dem ausbrennen - online</v>
      </c>
      <c r="C1124" s="5">
        <v>45929</v>
      </c>
      <c r="D1124" s="5">
        <v>45929</v>
      </c>
      <c r="E1124" s="4" t="str">
        <f t="shared" si="93"/>
        <v>2 Stunden</v>
      </c>
      <c r="F1124" s="6">
        <v>80</v>
      </c>
      <c r="G1124" s="4" t="s">
        <v>17</v>
      </c>
      <c r="H1124" s="4" t="s">
        <v>11</v>
      </c>
    </row>
    <row r="1125" spans="1:8" x14ac:dyDescent="0.2">
      <c r="A1125" s="4" t="str">
        <f>"23.115/001/2025"</f>
        <v>23.115/001/2025</v>
      </c>
      <c r="B1125" s="4" t="str">
        <f>"Grundlagen der Kommunikation im beruflichen Alltag - online"</f>
        <v>Grundlagen der Kommunikation im beruflichen Alltag - online</v>
      </c>
      <c r="C1125" s="5">
        <v>46006</v>
      </c>
      <c r="D1125" s="5">
        <v>46008</v>
      </c>
      <c r="E1125" s="4" t="str">
        <f t="shared" ref="E1125:E1146" si="94">"2 Tage"</f>
        <v>2 Tage</v>
      </c>
      <c r="F1125" s="6">
        <v>330</v>
      </c>
      <c r="G1125" s="4" t="s">
        <v>17</v>
      </c>
      <c r="H1125" s="4" t="s">
        <v>11</v>
      </c>
    </row>
    <row r="1126" spans="1:8" x14ac:dyDescent="0.2">
      <c r="A1126" s="4" t="str">
        <f>"23.120/001/2025"</f>
        <v>23.120/001/2025</v>
      </c>
      <c r="B1126" s="4" t="str">
        <f>"Sicher im Gespräch - Grundlagen der Gesprächsführung - online"</f>
        <v>Sicher im Gespräch - Grundlagen der Gesprächsführung - online</v>
      </c>
      <c r="C1126" s="5">
        <v>45686</v>
      </c>
      <c r="D1126" s="5">
        <v>45687</v>
      </c>
      <c r="E1126" s="4" t="str">
        <f t="shared" si="94"/>
        <v>2 Tage</v>
      </c>
      <c r="F1126" s="6">
        <v>330</v>
      </c>
      <c r="G1126" s="4" t="s">
        <v>17</v>
      </c>
      <c r="H1126" s="4" t="s">
        <v>11</v>
      </c>
    </row>
    <row r="1127" spans="1:8" x14ac:dyDescent="0.2">
      <c r="A1127" s="4" t="str">
        <f>"23.122/001/2025"</f>
        <v>23.122/001/2025</v>
      </c>
      <c r="B1127" s="4" t="str">
        <f>"Sicher im Gespräch - Gesprächsführung in schwierigen Situationen - online"</f>
        <v>Sicher im Gespräch - Gesprächsführung in schwierigen Situationen - online</v>
      </c>
      <c r="C1127" s="5">
        <v>45959</v>
      </c>
      <c r="D1127" s="5">
        <v>45960</v>
      </c>
      <c r="E1127" s="4" t="str">
        <f t="shared" si="94"/>
        <v>2 Tage</v>
      </c>
      <c r="F1127" s="6">
        <v>330</v>
      </c>
      <c r="G1127" s="4" t="str">
        <f>"Fachübergreifendes Seminar"</f>
        <v>Fachübergreifendes Seminar</v>
      </c>
      <c r="H1127" s="4" t="s">
        <v>11</v>
      </c>
    </row>
    <row r="1128" spans="1:8" x14ac:dyDescent="0.2">
      <c r="A1128" s="4" t="str">
        <f>"23.130/001/2025"</f>
        <v>23.130/001/2025</v>
      </c>
      <c r="B1128" s="4" t="str">
        <f>"Klartext reden - Selbstbewusst und souverän kommunizieren - online"</f>
        <v>Klartext reden - Selbstbewusst und souverän kommunizieren - online</v>
      </c>
      <c r="C1128" s="5">
        <v>45973</v>
      </c>
      <c r="D1128" s="5">
        <v>45974</v>
      </c>
      <c r="E1128" s="4" t="str">
        <f t="shared" si="94"/>
        <v>2 Tage</v>
      </c>
      <c r="F1128" s="6">
        <v>330</v>
      </c>
      <c r="G1128" s="4" t="s">
        <v>14</v>
      </c>
      <c r="H1128" s="4" t="s">
        <v>11</v>
      </c>
    </row>
    <row r="1129" spans="1:8" x14ac:dyDescent="0.2">
      <c r="A1129" s="4" t="str">
        <f>"23.140/001/2025"</f>
        <v>23.140/001/2025</v>
      </c>
      <c r="B1129" s="4" t="str">
        <f>"Gezielter kommunizieren - Neurokommunikation - online"</f>
        <v>Gezielter kommunizieren - Neurokommunikation - online</v>
      </c>
      <c r="C1129" s="5">
        <v>45922</v>
      </c>
      <c r="D1129" s="5">
        <v>45923</v>
      </c>
      <c r="E1129" s="4" t="str">
        <f t="shared" si="94"/>
        <v>2 Tage</v>
      </c>
      <c r="F1129" s="6">
        <v>330</v>
      </c>
      <c r="G1129" s="4" t="s">
        <v>14</v>
      </c>
      <c r="H1129" s="4" t="s">
        <v>11</v>
      </c>
    </row>
    <row r="1130" spans="1:8" x14ac:dyDescent="0.2">
      <c r="A1130" s="4" t="str">
        <f>"23.215/001/2025"</f>
        <v>23.215/001/2025</v>
      </c>
      <c r="B1130" s="4" t="str">
        <f>"Rhetorik 1 - Sprechen vor Publikum - online"</f>
        <v>Rhetorik 1 - Sprechen vor Publikum - online</v>
      </c>
      <c r="C1130" s="5">
        <v>45663</v>
      </c>
      <c r="D1130" s="5">
        <v>45664</v>
      </c>
      <c r="E1130" s="4" t="str">
        <f t="shared" si="94"/>
        <v>2 Tage</v>
      </c>
      <c r="F1130" s="6">
        <v>330</v>
      </c>
      <c r="G1130" s="4" t="str">
        <f>"Fachbezogenes Seminar"</f>
        <v>Fachbezogenes Seminar</v>
      </c>
      <c r="H1130" s="4" t="s">
        <v>11</v>
      </c>
    </row>
    <row r="1131" spans="1:8" x14ac:dyDescent="0.2">
      <c r="A1131" s="4" t="str">
        <f>"23.215/002/2025"</f>
        <v>23.215/002/2025</v>
      </c>
      <c r="B1131" s="4" t="str">
        <f>"Rhetorik 1 - Sprechen vor Publikum - online"</f>
        <v>Rhetorik 1 - Sprechen vor Publikum - online</v>
      </c>
      <c r="C1131" s="5">
        <v>45747</v>
      </c>
      <c r="D1131" s="5">
        <v>45748</v>
      </c>
      <c r="E1131" s="4" t="str">
        <f t="shared" si="94"/>
        <v>2 Tage</v>
      </c>
      <c r="F1131" s="6">
        <v>330</v>
      </c>
      <c r="G1131" s="4" t="str">
        <f>"Fachbezogenes Seminar"</f>
        <v>Fachbezogenes Seminar</v>
      </c>
      <c r="H1131" s="4" t="s">
        <v>11</v>
      </c>
    </row>
    <row r="1132" spans="1:8" x14ac:dyDescent="0.2">
      <c r="A1132" s="4" t="str">
        <f>"23.216/001/2025"</f>
        <v>23.216/001/2025</v>
      </c>
      <c r="B1132" s="4" t="str">
        <f>"Rhetorik 2 - Argumentieren und überzeugen - online"</f>
        <v>Rhetorik 2 - Argumentieren und überzeugen - online</v>
      </c>
      <c r="C1132" s="5">
        <v>45784</v>
      </c>
      <c r="D1132" s="5">
        <v>45785</v>
      </c>
      <c r="E1132" s="4" t="str">
        <f t="shared" si="94"/>
        <v>2 Tage</v>
      </c>
      <c r="F1132" s="6">
        <v>330</v>
      </c>
      <c r="G1132" s="4" t="str">
        <f>"Fachbezogenes Seminar"</f>
        <v>Fachbezogenes Seminar</v>
      </c>
      <c r="H1132" s="4" t="s">
        <v>11</v>
      </c>
    </row>
    <row r="1133" spans="1:8" x14ac:dyDescent="0.2">
      <c r="A1133" s="4" t="str">
        <f>"23.217/001/2025"</f>
        <v>23.217/001/2025</v>
      </c>
      <c r="B1133" s="4" t="str">
        <f>"Rhetorik 3 - Schwierige Gespräche und Interventionen - online"</f>
        <v>Rhetorik 3 - Schwierige Gespräche und Interventionen - online</v>
      </c>
      <c r="C1133" s="5">
        <v>45957</v>
      </c>
      <c r="D1133" s="5">
        <v>45958</v>
      </c>
      <c r="E1133" s="4" t="str">
        <f t="shared" si="94"/>
        <v>2 Tage</v>
      </c>
      <c r="F1133" s="6">
        <v>330</v>
      </c>
      <c r="G1133" s="4" t="str">
        <f>"Fachbezogenes Seminar"</f>
        <v>Fachbezogenes Seminar</v>
      </c>
      <c r="H1133" s="4" t="s">
        <v>11</v>
      </c>
    </row>
    <row r="1134" spans="1:8" x14ac:dyDescent="0.2">
      <c r="A1134" s="4" t="str">
        <f>"23.218/001/2025"</f>
        <v>23.218/001/2025</v>
      </c>
      <c r="B1134" s="4" t="str">
        <f>"Rhetorik 4 - Erfolgreiche Verhandlungsführung - online"</f>
        <v>Rhetorik 4 - Erfolgreiche Verhandlungsführung - online</v>
      </c>
      <c r="C1134" s="5">
        <v>46006</v>
      </c>
      <c r="D1134" s="5">
        <v>46007</v>
      </c>
      <c r="E1134" s="4" t="str">
        <f t="shared" si="94"/>
        <v>2 Tage</v>
      </c>
      <c r="F1134" s="6">
        <v>330</v>
      </c>
      <c r="G1134" s="4" t="str">
        <f>"Fachübergreifendes Seminar"</f>
        <v>Fachübergreifendes Seminar</v>
      </c>
      <c r="H1134" s="4" t="s">
        <v>11</v>
      </c>
    </row>
    <row r="1135" spans="1:8" x14ac:dyDescent="0.2">
      <c r="A1135" s="4" t="str">
        <f>"23.220/001/2025"</f>
        <v>23.220/001/2025</v>
      </c>
      <c r="B1135" s="4" t="str">
        <f>"Rhetorik und Stimmtraining - Einführung - online"</f>
        <v>Rhetorik und Stimmtraining - Einführung - online</v>
      </c>
      <c r="C1135" s="5">
        <v>45978</v>
      </c>
      <c r="D1135" s="5">
        <v>45979</v>
      </c>
      <c r="E1135" s="4" t="str">
        <f t="shared" si="94"/>
        <v>2 Tage</v>
      </c>
      <c r="F1135" s="6">
        <v>330</v>
      </c>
      <c r="G1135" s="4" t="str">
        <f>"Fachübergreifendes Seminar"</f>
        <v>Fachübergreifendes Seminar</v>
      </c>
      <c r="H1135" s="4" t="s">
        <v>11</v>
      </c>
    </row>
    <row r="1136" spans="1:8" x14ac:dyDescent="0.2">
      <c r="A1136" s="4" t="str">
        <f>"23.245/001/2025"</f>
        <v>23.245/001/2025</v>
      </c>
      <c r="B1136" s="4" t="str">
        <f>"Rhetorik und Stimmtraining für Frauen - online"</f>
        <v>Rhetorik und Stimmtraining für Frauen - online</v>
      </c>
      <c r="C1136" s="5">
        <v>45673</v>
      </c>
      <c r="D1136" s="5">
        <v>45674</v>
      </c>
      <c r="E1136" s="4" t="str">
        <f t="shared" si="94"/>
        <v>2 Tage</v>
      </c>
      <c r="F1136" s="6">
        <v>330</v>
      </c>
      <c r="G1136" s="4" t="str">
        <f>"Fachübergreifendes Seminar"</f>
        <v>Fachübergreifendes Seminar</v>
      </c>
      <c r="H1136" s="4" t="s">
        <v>11</v>
      </c>
    </row>
    <row r="1137" spans="1:8" x14ac:dyDescent="0.2">
      <c r="A1137" s="4" t="str">
        <f>"23.245/002/2025"</f>
        <v>23.245/002/2025</v>
      </c>
      <c r="B1137" s="4" t="str">
        <f>"Rhetorik und Stimmtraining für Frauen - online"</f>
        <v>Rhetorik und Stimmtraining für Frauen - online</v>
      </c>
      <c r="C1137" s="5">
        <v>45987</v>
      </c>
      <c r="D1137" s="5">
        <v>45988</v>
      </c>
      <c r="E1137" s="4" t="str">
        <f t="shared" si="94"/>
        <v>2 Tage</v>
      </c>
      <c r="F1137" s="6">
        <v>330</v>
      </c>
      <c r="G1137" s="4" t="str">
        <f>"Fachübergreifendes Seminar"</f>
        <v>Fachübergreifendes Seminar</v>
      </c>
      <c r="H1137" s="4" t="s">
        <v>11</v>
      </c>
    </row>
    <row r="1138" spans="1:8" x14ac:dyDescent="0.2">
      <c r="A1138" s="4" t="str">
        <f>"23.315/001/2025"</f>
        <v>23.315/001/2025</v>
      </c>
      <c r="B1138" s="4" t="str">
        <f>"Onlinekommunikation - Stimme, Körpersprache und Wirkung optimieren - online"</f>
        <v>Onlinekommunikation - Stimme, Körpersprache und Wirkung optimieren - online</v>
      </c>
      <c r="C1138" s="5">
        <v>45785</v>
      </c>
      <c r="D1138" s="5">
        <v>45786</v>
      </c>
      <c r="E1138" s="4" t="str">
        <f t="shared" si="94"/>
        <v>2 Tage</v>
      </c>
      <c r="F1138" s="6">
        <v>330</v>
      </c>
      <c r="G1138" s="4" t="str">
        <f>"Fachbezogenes Seminar"</f>
        <v>Fachbezogenes Seminar</v>
      </c>
      <c r="H1138" s="4" t="s">
        <v>11</v>
      </c>
    </row>
    <row r="1139" spans="1:8" x14ac:dyDescent="0.2">
      <c r="A1139" s="4" t="str">
        <f>"23.330/001/2025"</f>
        <v>23.330/001/2025</v>
      </c>
      <c r="B1139" s="4" t="str">
        <f>"Besprechungen kompetent leiten - online"</f>
        <v>Besprechungen kompetent leiten - online</v>
      </c>
      <c r="C1139" s="5">
        <v>45670</v>
      </c>
      <c r="D1139" s="5">
        <v>45671</v>
      </c>
      <c r="E1139" s="4" t="str">
        <f t="shared" si="94"/>
        <v>2 Tage</v>
      </c>
      <c r="F1139" s="6">
        <v>330</v>
      </c>
      <c r="G1139" s="4" t="str">
        <f t="shared" ref="G1139:G1148" si="95">"Fachübergreifendes Seminar"</f>
        <v>Fachübergreifendes Seminar</v>
      </c>
      <c r="H1139" s="4" t="s">
        <v>11</v>
      </c>
    </row>
    <row r="1140" spans="1:8" x14ac:dyDescent="0.2">
      <c r="A1140" s="4" t="str">
        <f>"23.330/002/2025"</f>
        <v>23.330/002/2025</v>
      </c>
      <c r="B1140" s="4" t="str">
        <f>"Besprechungen kompetent leiten - online"</f>
        <v>Besprechungen kompetent leiten - online</v>
      </c>
      <c r="C1140" s="5">
        <v>46007</v>
      </c>
      <c r="D1140" s="5">
        <v>46008</v>
      </c>
      <c r="E1140" s="4" t="str">
        <f t="shared" si="94"/>
        <v>2 Tage</v>
      </c>
      <c r="F1140" s="6">
        <v>330</v>
      </c>
      <c r="G1140" s="4" t="str">
        <f t="shared" si="95"/>
        <v>Fachübergreifendes Seminar</v>
      </c>
      <c r="H1140" s="4" t="s">
        <v>11</v>
      </c>
    </row>
    <row r="1141" spans="1:8" x14ac:dyDescent="0.2">
      <c r="A1141" s="4" t="str">
        <f>"23.350/001/2025"</f>
        <v>23.350/001/2025</v>
      </c>
      <c r="B1141" s="4" t="str">
        <f>"Kundenfreundliche Kommunikation am Telefon - online"</f>
        <v>Kundenfreundliche Kommunikation am Telefon - online</v>
      </c>
      <c r="C1141" s="5">
        <v>45973</v>
      </c>
      <c r="D1141" s="5">
        <v>45974</v>
      </c>
      <c r="E1141" s="4" t="str">
        <f t="shared" si="94"/>
        <v>2 Tage</v>
      </c>
      <c r="F1141" s="6">
        <v>330</v>
      </c>
      <c r="G1141" s="4" t="str">
        <f t="shared" si="95"/>
        <v>Fachübergreifendes Seminar</v>
      </c>
      <c r="H1141" s="4" t="s">
        <v>11</v>
      </c>
    </row>
    <row r="1142" spans="1:8" x14ac:dyDescent="0.2">
      <c r="A1142" s="4" t="str">
        <f>"23.355/001/2025"</f>
        <v>23.355/001/2025</v>
      </c>
      <c r="B1142" s="4" t="str">
        <f>"Kommunikation im Außendienst - online"</f>
        <v>Kommunikation im Außendienst - online</v>
      </c>
      <c r="C1142" s="5">
        <v>45973</v>
      </c>
      <c r="D1142" s="5">
        <v>45974</v>
      </c>
      <c r="E1142" s="4" t="str">
        <f t="shared" si="94"/>
        <v>2 Tage</v>
      </c>
      <c r="F1142" s="6">
        <v>330</v>
      </c>
      <c r="G1142" s="4" t="str">
        <f t="shared" si="95"/>
        <v>Fachübergreifendes Seminar</v>
      </c>
      <c r="H1142" s="4" t="s">
        <v>11</v>
      </c>
    </row>
    <row r="1143" spans="1:8" x14ac:dyDescent="0.2">
      <c r="A1143" s="4" t="str">
        <f>"23.420/001/2025"</f>
        <v>23.420/001/2025</v>
      </c>
      <c r="B1143" s="4" t="str">
        <f>"Umgang mit Konflikten am Arbeitsplatz - online"</f>
        <v>Umgang mit Konflikten am Arbeitsplatz - online</v>
      </c>
      <c r="C1143" s="5">
        <v>45782</v>
      </c>
      <c r="D1143" s="5">
        <v>45783</v>
      </c>
      <c r="E1143" s="4" t="str">
        <f t="shared" si="94"/>
        <v>2 Tage</v>
      </c>
      <c r="F1143" s="6">
        <v>330</v>
      </c>
      <c r="G1143" s="4" t="str">
        <f t="shared" si="95"/>
        <v>Fachübergreifendes Seminar</v>
      </c>
      <c r="H1143" s="4" t="s">
        <v>11</v>
      </c>
    </row>
    <row r="1144" spans="1:8" x14ac:dyDescent="0.2">
      <c r="A1144" s="4" t="str">
        <f>"23.435/001/2025"</f>
        <v>23.435/001/2025</v>
      </c>
      <c r="B1144" s="4" t="str">
        <f>"Schlagfertigkeit - bei schwierigen oder unsachlichen Einwänden - online"</f>
        <v>Schlagfertigkeit - bei schwierigen oder unsachlichen Einwänden - online</v>
      </c>
      <c r="C1144" s="5">
        <v>45692</v>
      </c>
      <c r="D1144" s="5">
        <v>45693</v>
      </c>
      <c r="E1144" s="4" t="str">
        <f t="shared" si="94"/>
        <v>2 Tage</v>
      </c>
      <c r="F1144" s="6">
        <v>330</v>
      </c>
      <c r="G1144" s="4" t="str">
        <f t="shared" si="95"/>
        <v>Fachübergreifendes Seminar</v>
      </c>
      <c r="H1144" s="4" t="s">
        <v>11</v>
      </c>
    </row>
    <row r="1145" spans="1:8" x14ac:dyDescent="0.2">
      <c r="A1145" s="4" t="str">
        <f>"23.435/002/2025"</f>
        <v>23.435/002/2025</v>
      </c>
      <c r="B1145" s="4" t="str">
        <f>"Schlagfertigkeit - bei schwierigen oder unsachlichen Einwänden - online"</f>
        <v>Schlagfertigkeit - bei schwierigen oder unsachlichen Einwänden - online</v>
      </c>
      <c r="C1145" s="5">
        <v>45999</v>
      </c>
      <c r="D1145" s="5">
        <v>46000</v>
      </c>
      <c r="E1145" s="4" t="str">
        <f t="shared" si="94"/>
        <v>2 Tage</v>
      </c>
      <c r="F1145" s="6">
        <v>330</v>
      </c>
      <c r="G1145" s="4" t="str">
        <f t="shared" si="95"/>
        <v>Fachübergreifendes Seminar</v>
      </c>
      <c r="H1145" s="4" t="s">
        <v>11</v>
      </c>
    </row>
    <row r="1146" spans="1:8" x14ac:dyDescent="0.2">
      <c r="A1146" s="4" t="str">
        <f>"23.455/001/2025"</f>
        <v>23.455/001/2025</v>
      </c>
      <c r="B1146" s="4" t="str">
        <f>"Konfliktmanagement für Führungskräfte - online"</f>
        <v>Konfliktmanagement für Führungskräfte - online</v>
      </c>
      <c r="C1146" s="5">
        <v>45700</v>
      </c>
      <c r="D1146" s="5">
        <v>45701</v>
      </c>
      <c r="E1146" s="4" t="str">
        <f t="shared" si="94"/>
        <v>2 Tage</v>
      </c>
      <c r="F1146" s="6">
        <v>330</v>
      </c>
      <c r="G1146" s="4" t="str">
        <f t="shared" si="95"/>
        <v>Fachübergreifendes Seminar</v>
      </c>
      <c r="H1146" s="4" t="s">
        <v>11</v>
      </c>
    </row>
    <row r="1147" spans="1:8" x14ac:dyDescent="0.2">
      <c r="A1147" s="4" t="str">
        <f>"23.475/001/2025"</f>
        <v>23.475/001/2025</v>
      </c>
      <c r="B1147" s="4" t="str">
        <f>"Mut steht Dir - wie Frauen souverän in Konfliktsituationen auftreten - online"</f>
        <v>Mut steht Dir - wie Frauen souverän in Konfliktsituationen auftreten - online</v>
      </c>
      <c r="C1147" s="5">
        <v>45684</v>
      </c>
      <c r="D1147" s="5">
        <v>45684</v>
      </c>
      <c r="E1147" s="4" t="str">
        <f>"0,5 Tage"</f>
        <v>0,5 Tage</v>
      </c>
      <c r="F1147" s="6">
        <v>110</v>
      </c>
      <c r="G1147" s="4" t="str">
        <f t="shared" si="95"/>
        <v>Fachübergreifendes Seminar</v>
      </c>
      <c r="H1147" s="4" t="s">
        <v>11</v>
      </c>
    </row>
    <row r="1148" spans="1:8" x14ac:dyDescent="0.2">
      <c r="A1148" s="4" t="str">
        <f>"23.475/002/2025"</f>
        <v>23.475/002/2025</v>
      </c>
      <c r="B1148" s="4" t="str">
        <f>"Mut steht Dir - wie Frauen souverän in Konfliktsituationen auftreten - online"</f>
        <v>Mut steht Dir - wie Frauen souverän in Konfliktsituationen auftreten - online</v>
      </c>
      <c r="C1148" s="5">
        <v>45922</v>
      </c>
      <c r="D1148" s="5">
        <v>45922</v>
      </c>
      <c r="E1148" s="4" t="str">
        <f>"0,5 Tage"</f>
        <v>0,5 Tage</v>
      </c>
      <c r="F1148" s="6">
        <v>110</v>
      </c>
      <c r="G1148" s="4" t="str">
        <f t="shared" si="95"/>
        <v>Fachübergreifendes Seminar</v>
      </c>
      <c r="H1148" s="4" t="s">
        <v>11</v>
      </c>
    </row>
    <row r="1149" spans="1:8" x14ac:dyDescent="0.2">
      <c r="A1149" s="4" t="str">
        <f>"23.530/001/2025"</f>
        <v>23.530/001/2025</v>
      </c>
      <c r="B1149" s="4" t="str">
        <f>"Erfolgreiche Zusammenarbeit auf Distanz - Teams in Telearbeit - online"</f>
        <v>Erfolgreiche Zusammenarbeit auf Distanz - Teams in Telearbeit - online</v>
      </c>
      <c r="C1149" s="5">
        <v>45726</v>
      </c>
      <c r="D1149" s="5">
        <v>45727</v>
      </c>
      <c r="E1149" s="4" t="str">
        <f>"2 Tage"</f>
        <v>2 Tage</v>
      </c>
      <c r="F1149" s="6">
        <v>330</v>
      </c>
      <c r="G1149" s="4" t="s">
        <v>17</v>
      </c>
      <c r="H1149" s="4" t="s">
        <v>11</v>
      </c>
    </row>
    <row r="1150" spans="1:8" x14ac:dyDescent="0.2">
      <c r="A1150" s="4" t="str">
        <f>"24.115/001/2025"</f>
        <v>24.115/001/2025</v>
      </c>
      <c r="B1150" s="4" t="str">
        <f>"Einführung in die Presse- und Öffentlichkeitsarbeit kompakt - online"</f>
        <v>Einführung in die Presse- und Öffentlichkeitsarbeit kompakt - online</v>
      </c>
      <c r="C1150" s="5">
        <v>45923</v>
      </c>
      <c r="D1150" s="5">
        <v>45923</v>
      </c>
      <c r="E1150" s="4" t="str">
        <f>"1 Tag"</f>
        <v>1 Tag</v>
      </c>
      <c r="F1150" s="6">
        <v>170</v>
      </c>
      <c r="G1150" s="4" t="str">
        <f>"Fachbezogenes Seminar"</f>
        <v>Fachbezogenes Seminar</v>
      </c>
      <c r="H1150" s="4" t="s">
        <v>11</v>
      </c>
    </row>
    <row r="1151" spans="1:8" x14ac:dyDescent="0.2">
      <c r="A1151" s="4" t="str">
        <f>"24.215/001/2025"</f>
        <v>24.215/001/2025</v>
      </c>
      <c r="B1151" s="4" t="str">
        <f>"Von Webseite bis Social Media - Grundlagen erfolgreicher Onlinekommunikation - online"</f>
        <v>Von Webseite bis Social Media - Grundlagen erfolgreicher Onlinekommunikation - online</v>
      </c>
      <c r="C1151" s="5">
        <v>45755</v>
      </c>
      <c r="D1151" s="5">
        <v>45756</v>
      </c>
      <c r="E1151" s="4" t="str">
        <f>"2 Tage"</f>
        <v>2 Tage</v>
      </c>
      <c r="F1151" s="6">
        <v>330</v>
      </c>
      <c r="G1151" s="4" t="str">
        <f>"Fachbezogenes Seminar"</f>
        <v>Fachbezogenes Seminar</v>
      </c>
      <c r="H1151" s="4" t="s">
        <v>11</v>
      </c>
    </row>
    <row r="1152" spans="1:8" x14ac:dyDescent="0.2">
      <c r="A1152" s="4" t="str">
        <f>"24.225/001/2025"</f>
        <v>24.225/001/2025</v>
      </c>
      <c r="B1152" s="4" t="str">
        <f>"Erfolgreiche Internetauftritte gestalten - online "</f>
        <v xml:space="preserve">Erfolgreiche Internetauftritte gestalten - online </v>
      </c>
      <c r="C1152" s="5">
        <v>45790</v>
      </c>
      <c r="D1152" s="5">
        <v>45791</v>
      </c>
      <c r="E1152" s="4" t="str">
        <f>"2 Tage"</f>
        <v>2 Tage</v>
      </c>
      <c r="F1152" s="6">
        <v>330</v>
      </c>
      <c r="G1152" s="4" t="str">
        <f>"Fachübergreifendes Seminar"</f>
        <v>Fachübergreifendes Seminar</v>
      </c>
      <c r="H1152" s="4" t="s">
        <v>11</v>
      </c>
    </row>
    <row r="1153" spans="1:8" x14ac:dyDescent="0.2">
      <c r="A1153" s="4" t="str">
        <f>"24.245/001/2025"</f>
        <v>24.245/001/2025</v>
      </c>
      <c r="B1153" s="4" t="str">
        <f>"Online-Events professionell planen und durchführen - online "</f>
        <v xml:space="preserve">Online-Events professionell planen und durchführen - online </v>
      </c>
      <c r="C1153" s="5">
        <v>45819</v>
      </c>
      <c r="D1153" s="5">
        <v>45820</v>
      </c>
      <c r="E1153" s="4" t="str">
        <f>"2 Tage"</f>
        <v>2 Tage</v>
      </c>
      <c r="F1153" s="6">
        <v>330</v>
      </c>
      <c r="G1153" s="4" t="str">
        <f>"Fachbezogenes Seminar"</f>
        <v>Fachbezogenes Seminar</v>
      </c>
      <c r="H1153" s="4" t="s">
        <v>11</v>
      </c>
    </row>
    <row r="1154" spans="1:8" x14ac:dyDescent="0.2">
      <c r="A1154" s="4" t="str">
        <f>"24.255/001/2025"</f>
        <v>24.255/001/2025</v>
      </c>
      <c r="B1154" s="4" t="str">
        <f>"Workshop: Videos mit dem Smartphone drehen und schneiden - online"</f>
        <v>Workshop: Videos mit dem Smartphone drehen und schneiden - online</v>
      </c>
      <c r="C1154" s="5">
        <v>45894</v>
      </c>
      <c r="D1154" s="5">
        <v>45904</v>
      </c>
      <c r="E1154" s="4" t="str">
        <f>"2x1 Tag"</f>
        <v>2x1 Tag</v>
      </c>
      <c r="F1154" s="6">
        <v>560</v>
      </c>
      <c r="G1154" s="4"/>
      <c r="H1154" s="4" t="s">
        <v>11</v>
      </c>
    </row>
    <row r="1155" spans="1:8" x14ac:dyDescent="0.2">
      <c r="A1155" s="4" t="str">
        <f>"24.255/001 a/2025"</f>
        <v>24.255/001 a/2025</v>
      </c>
      <c r="B1155" s="4" t="str">
        <f>"Workshop: Videos mit dem Smartphone drehen und schneiden - online"</f>
        <v>Workshop: Videos mit dem Smartphone drehen und schneiden - online</v>
      </c>
      <c r="C1155" s="5">
        <v>45894</v>
      </c>
      <c r="D1155" s="5">
        <v>45894</v>
      </c>
      <c r="E1155" s="4"/>
      <c r="F1155" s="6" t="s">
        <v>11</v>
      </c>
      <c r="G1155" s="4" t="s">
        <v>14</v>
      </c>
      <c r="H1155" s="4" t="s">
        <v>11</v>
      </c>
    </row>
    <row r="1156" spans="1:8" x14ac:dyDescent="0.2">
      <c r="A1156" s="4" t="str">
        <f>"24.255/001 b/2025"</f>
        <v>24.255/001 b/2025</v>
      </c>
      <c r="B1156" s="4" t="str">
        <f>"Workshop: Videos mit dem Smartphone drehen und schneiden - online"</f>
        <v>Workshop: Videos mit dem Smartphone drehen und schneiden - online</v>
      </c>
      <c r="C1156" s="5">
        <v>45904</v>
      </c>
      <c r="D1156" s="5">
        <v>45904</v>
      </c>
      <c r="E1156" s="4"/>
      <c r="F1156" s="6" t="s">
        <v>11</v>
      </c>
      <c r="G1156" s="4" t="s">
        <v>14</v>
      </c>
      <c r="H1156" s="4" t="s">
        <v>11</v>
      </c>
    </row>
    <row r="1157" spans="1:8" x14ac:dyDescent="0.2">
      <c r="A1157" s="4" t="str">
        <f>"24.315/001/2025"</f>
        <v>24.315/001/2025</v>
      </c>
      <c r="B1157" s="4" t="str">
        <f>"Texten für das Internet - online"</f>
        <v>Texten für das Internet - online</v>
      </c>
      <c r="C1157" s="5">
        <v>45692</v>
      </c>
      <c r="D1157" s="5">
        <v>45693</v>
      </c>
      <c r="E1157" s="4" t="str">
        <f>"2 Tage"</f>
        <v>2 Tage</v>
      </c>
      <c r="F1157" s="6">
        <v>330</v>
      </c>
      <c r="G1157" s="4" t="str">
        <f>"Fachübergreifendes Seminar"</f>
        <v>Fachübergreifendes Seminar</v>
      </c>
      <c r="H1157" s="4" t="s">
        <v>11</v>
      </c>
    </row>
    <row r="1158" spans="1:8" x14ac:dyDescent="0.2">
      <c r="A1158" s="4" t="str">
        <f>"24.320/001/2025"</f>
        <v>24.320/001/2025</v>
      </c>
      <c r="B1158" s="4" t="str">
        <f>"Moderne Verwaltungssprache - klar, verständlich, adressatengerecht - online"</f>
        <v>Moderne Verwaltungssprache - klar, verständlich, adressatengerecht - online</v>
      </c>
      <c r="C1158" s="5">
        <v>45908</v>
      </c>
      <c r="D1158" s="5">
        <v>45909</v>
      </c>
      <c r="E1158" s="4" t="str">
        <f>"2 Tage"</f>
        <v>2 Tage</v>
      </c>
      <c r="F1158" s="6">
        <v>490</v>
      </c>
      <c r="G1158" s="4" t="str">
        <f>"Fachübergreifendes Seminar"</f>
        <v>Fachübergreifendes Seminar</v>
      </c>
      <c r="H1158" s="4" t="s">
        <v>11</v>
      </c>
    </row>
    <row r="1159" spans="1:8" x14ac:dyDescent="0.2">
      <c r="A1159" s="4" t="str">
        <f>"24.340/001/2025"</f>
        <v>24.340/001/2025</v>
      </c>
      <c r="B1159" s="4" t="str">
        <f>"Rechtschreibung, Zeichensetzung und DIN 5008 für korrekte Korrespondenz - online"</f>
        <v>Rechtschreibung, Zeichensetzung und DIN 5008 für korrekte Korrespondenz - online</v>
      </c>
      <c r="C1159" s="5">
        <v>45712</v>
      </c>
      <c r="D1159" s="5">
        <v>45713</v>
      </c>
      <c r="E1159" s="4" t="str">
        <f>"2 Tage"</f>
        <v>2 Tage</v>
      </c>
      <c r="F1159" s="6">
        <v>330</v>
      </c>
      <c r="G1159" s="4" t="str">
        <f t="shared" ref="G1159:G1161" si="96">"Fachübergreifendes Seminar"</f>
        <v>Fachübergreifendes Seminar</v>
      </c>
      <c r="H1159" s="4" t="s">
        <v>11</v>
      </c>
    </row>
    <row r="1160" spans="1:8" x14ac:dyDescent="0.2">
      <c r="A1160" s="4" t="str">
        <f>"24.342/001/2025"</f>
        <v>24.342/001/2025</v>
      </c>
      <c r="B1160" s="4" t="str">
        <f>"Geschicktes Gendern in Wort und Schrift - online"</f>
        <v>Geschicktes Gendern in Wort und Schrift - online</v>
      </c>
      <c r="C1160" s="5">
        <v>45784</v>
      </c>
      <c r="D1160" s="5">
        <v>45784</v>
      </c>
      <c r="E1160" s="4" t="str">
        <f>"1 Tag"</f>
        <v>1 Tag</v>
      </c>
      <c r="F1160" s="6">
        <v>220</v>
      </c>
      <c r="G1160" s="4" t="str">
        <f t="shared" si="96"/>
        <v>Fachübergreifendes Seminar</v>
      </c>
      <c r="H1160" s="4" t="s">
        <v>11</v>
      </c>
    </row>
    <row r="1161" spans="1:8" x14ac:dyDescent="0.2">
      <c r="A1161" s="4" t="str">
        <f>"24.344/001/2025"</f>
        <v>24.344/001/2025</v>
      </c>
      <c r="B1161" s="4" t="str">
        <f>"KI in Behörden - Umgang mit ChatGPT und anderen Text-Tools - online"</f>
        <v>KI in Behörden - Umgang mit ChatGPT und anderen Text-Tools - online</v>
      </c>
      <c r="C1161" s="5">
        <v>45769</v>
      </c>
      <c r="D1161" s="5">
        <v>45770</v>
      </c>
      <c r="E1161" s="4" t="str">
        <f>"2 Tage"</f>
        <v>2 Tage</v>
      </c>
      <c r="F1161" s="6">
        <v>330</v>
      </c>
      <c r="G1161" s="4" t="str">
        <f t="shared" si="96"/>
        <v>Fachübergreifendes Seminar</v>
      </c>
      <c r="H1161" s="4" t="s">
        <v>11</v>
      </c>
    </row>
    <row r="1162" spans="1:8" x14ac:dyDescent="0.2">
      <c r="A1162" s="4" t="str">
        <f>"24.344/002/2025"</f>
        <v>24.344/002/2025</v>
      </c>
      <c r="B1162" s="4" t="str">
        <f>"KI in Behörden - Umgang mit ChatGPT und anderen Text-Tools - online"</f>
        <v>KI in Behörden - Umgang mit ChatGPT und anderen Text-Tools - online</v>
      </c>
      <c r="C1162" s="5">
        <v>45971</v>
      </c>
      <c r="D1162" s="5">
        <v>45972</v>
      </c>
      <c r="E1162" s="4" t="str">
        <f>"2 Tage"</f>
        <v>2 Tage</v>
      </c>
      <c r="F1162" s="6">
        <v>330</v>
      </c>
      <c r="G1162" s="4" t="s">
        <v>14</v>
      </c>
      <c r="H1162" s="4" t="s">
        <v>11</v>
      </c>
    </row>
    <row r="1163" spans="1:8" x14ac:dyDescent="0.2">
      <c r="A1163" s="4" t="str">
        <f>"25.130/001/2025"</f>
        <v>25.130/001/2025</v>
      </c>
      <c r="B1163" s="4" t="str">
        <f>"Gleichstellung in a nutshell: Basiswissen für Gleichstellungsbeauftragte - online"</f>
        <v>Gleichstellung in a nutshell: Basiswissen für Gleichstellungsbeauftragte - online</v>
      </c>
      <c r="C1163" s="5">
        <v>45833</v>
      </c>
      <c r="D1163" s="5">
        <v>45833</v>
      </c>
      <c r="E1163" s="4" t="str">
        <f>"1 Tag"</f>
        <v>1 Tag</v>
      </c>
      <c r="F1163" s="6">
        <v>230</v>
      </c>
      <c r="G1163" s="4" t="str">
        <f>"Fachbezogenes Seminar"</f>
        <v>Fachbezogenes Seminar</v>
      </c>
      <c r="H1163" s="4" t="s">
        <v>11</v>
      </c>
    </row>
    <row r="1164" spans="1:8" x14ac:dyDescent="0.2">
      <c r="A1164" s="4" t="str">
        <f>"25.140/001/2025"</f>
        <v>25.140/001/2025</v>
      </c>
      <c r="B1164" s="4" t="str">
        <f>"Kompetent im Beurteilungsverfahren - für Gleichstellungsbeauftragte - online"</f>
        <v>Kompetent im Beurteilungsverfahren - für Gleichstellungsbeauftragte - online</v>
      </c>
      <c r="C1164" s="5">
        <v>45756</v>
      </c>
      <c r="D1164" s="5">
        <v>45757</v>
      </c>
      <c r="E1164" s="4" t="str">
        <f>"2 Tage"</f>
        <v>2 Tage</v>
      </c>
      <c r="F1164" s="6">
        <v>410</v>
      </c>
      <c r="G1164" s="4" t="str">
        <f>"Fachübergreifendes Seminar"</f>
        <v>Fachübergreifendes Seminar</v>
      </c>
      <c r="H1164" s="4" t="s">
        <v>11</v>
      </c>
    </row>
    <row r="1165" spans="1:8" x14ac:dyDescent="0.2">
      <c r="A1165" s="4" t="str">
        <f>"25.210/001/2025"</f>
        <v>25.210/001/2025</v>
      </c>
      <c r="B1165" s="4" t="str">
        <f>"Wege aus der Gender-Falle: Einführung - online"</f>
        <v>Wege aus der Gender-Falle: Einführung - online</v>
      </c>
      <c r="C1165" s="5">
        <v>45953</v>
      </c>
      <c r="D1165" s="5">
        <v>45954</v>
      </c>
      <c r="E1165" s="4" t="str">
        <f>"2 Tage"</f>
        <v>2 Tage</v>
      </c>
      <c r="F1165" s="6">
        <v>330</v>
      </c>
      <c r="G1165" s="4" t="str">
        <f>"Fachbezogenes Seminar"</f>
        <v>Fachbezogenes Seminar</v>
      </c>
      <c r="H1165" s="4" t="s">
        <v>11</v>
      </c>
    </row>
    <row r="1166" spans="1:8" x14ac:dyDescent="0.2">
      <c r="A1166" s="4" t="str">
        <f>"25.230/001/2025"</f>
        <v>25.230/001/2025</v>
      </c>
      <c r="B1166" s="4" t="str">
        <f>"Inklusive Vielfalt - Grundlagen eines diversityorientierten Perspektivwechsels - online"</f>
        <v>Inklusive Vielfalt - Grundlagen eines diversityorientierten Perspektivwechsels - online</v>
      </c>
      <c r="C1166" s="5">
        <v>45978</v>
      </c>
      <c r="D1166" s="5">
        <v>45978</v>
      </c>
      <c r="E1166" s="4" t="str">
        <f>"1 Tag"</f>
        <v>1 Tag</v>
      </c>
      <c r="F1166" s="6">
        <v>170</v>
      </c>
      <c r="G1166" s="4" t="str">
        <f>"Fachübergreifendes Seminar"</f>
        <v>Fachübergreifendes Seminar</v>
      </c>
      <c r="H1166" s="4" t="s">
        <v>11</v>
      </c>
    </row>
    <row r="1167" spans="1:8" x14ac:dyDescent="0.2">
      <c r="A1167" s="4" t="str">
        <f>"25.250/001/2025"</f>
        <v>25.250/001/2025</v>
      </c>
      <c r="B1167" s="4" t="str">
        <f>"Interkulturelle Kompetenz - kompakt"</f>
        <v>Interkulturelle Kompetenz - kompakt</v>
      </c>
      <c r="C1167" s="5">
        <v>45954</v>
      </c>
      <c r="D1167" s="5">
        <v>45954</v>
      </c>
      <c r="E1167" s="4" t="str">
        <f>"1 Tag"</f>
        <v>1 Tag</v>
      </c>
      <c r="F1167" s="6">
        <v>160</v>
      </c>
      <c r="G1167" s="4" t="s">
        <v>17</v>
      </c>
      <c r="H1167" s="4" t="s">
        <v>11</v>
      </c>
    </row>
    <row r="1168" spans="1:8" x14ac:dyDescent="0.2">
      <c r="A1168" s="4" t="str">
        <f>"25.282/001/2025"</f>
        <v>25.282/001/2025</v>
      </c>
      <c r="B1168" s="4" t="str">
        <f>"Vielfalt@Work - Interkulturelle Öffnung der Verwaltung - Blended Learning"</f>
        <v>Vielfalt@Work - Interkulturelle Öffnung der Verwaltung - Blended Learning</v>
      </c>
      <c r="C1168" s="5">
        <v>45919</v>
      </c>
      <c r="D1168" s="5">
        <v>45961</v>
      </c>
      <c r="E1168" s="4" t="s">
        <v>19</v>
      </c>
      <c r="F1168" s="6">
        <v>810</v>
      </c>
      <c r="G1168" s="4"/>
      <c r="H1168" s="4" t="s">
        <v>11</v>
      </c>
    </row>
    <row r="1169" spans="1:8" x14ac:dyDescent="0.2">
      <c r="A1169" s="4" t="str">
        <f>"25.282/001 a/2025"</f>
        <v>25.282/001 a/2025</v>
      </c>
      <c r="B1169" s="4" t="str">
        <f>"Vielfalt@Work - Interkulturelle Öffnung der Verwaltung - Blended Learning"</f>
        <v>Vielfalt@Work - Interkulturelle Öffnung der Verwaltung - Blended Learning</v>
      </c>
      <c r="C1169" s="5">
        <v>45919</v>
      </c>
      <c r="D1169" s="5">
        <v>45919</v>
      </c>
      <c r="E1169" s="4"/>
      <c r="F1169" s="6" t="s">
        <v>11</v>
      </c>
      <c r="G1169" s="4" t="str">
        <f t="shared" ref="G1169:G1177" si="97">"Fachübergreifendes Seminar"</f>
        <v>Fachübergreifendes Seminar</v>
      </c>
      <c r="H1169" s="4" t="s">
        <v>11</v>
      </c>
    </row>
    <row r="1170" spans="1:8" x14ac:dyDescent="0.2">
      <c r="A1170" s="4" t="str">
        <f>"25.282/001 b/2025"</f>
        <v>25.282/001 b/2025</v>
      </c>
      <c r="B1170" s="4" t="str">
        <f>"Vielfalt@Work - Interkulturelle Öffnung der Verwaltung - Blended Learning"</f>
        <v>Vielfalt@Work - Interkulturelle Öffnung der Verwaltung - Blended Learning</v>
      </c>
      <c r="C1170" s="5">
        <v>45961</v>
      </c>
      <c r="D1170" s="5">
        <v>45961</v>
      </c>
      <c r="E1170" s="4"/>
      <c r="F1170" s="6" t="s">
        <v>11</v>
      </c>
      <c r="G1170" s="4" t="str">
        <f t="shared" si="97"/>
        <v>Fachübergreifendes Seminar</v>
      </c>
      <c r="H1170" s="4" t="s">
        <v>11</v>
      </c>
    </row>
    <row r="1171" spans="1:8" x14ac:dyDescent="0.2">
      <c r="A1171" s="4" t="str">
        <f>"26.115/001/2025"</f>
        <v>26.115/001/2025</v>
      </c>
      <c r="B1171" s="4" t="str">
        <f>"Effektives Zeit- und Selbstmanagement - online"</f>
        <v>Effektives Zeit- und Selbstmanagement - online</v>
      </c>
      <c r="C1171" s="5">
        <v>45708</v>
      </c>
      <c r="D1171" s="5">
        <v>45709</v>
      </c>
      <c r="E1171" s="4" t="str">
        <f t="shared" ref="E1171:E1175" si="98">"2 Tage"</f>
        <v>2 Tage</v>
      </c>
      <c r="F1171" s="6">
        <v>330</v>
      </c>
      <c r="G1171" s="4" t="str">
        <f t="shared" si="97"/>
        <v>Fachübergreifendes Seminar</v>
      </c>
      <c r="H1171" s="4" t="s">
        <v>11</v>
      </c>
    </row>
    <row r="1172" spans="1:8" x14ac:dyDescent="0.2">
      <c r="A1172" s="4" t="str">
        <f>"26.115/003/2025"</f>
        <v>26.115/003/2025</v>
      </c>
      <c r="B1172" s="4" t="str">
        <f>"Effektives Zeit- und Selbstmanagement - online"</f>
        <v>Effektives Zeit- und Selbstmanagement - online</v>
      </c>
      <c r="C1172" s="5">
        <v>45897</v>
      </c>
      <c r="D1172" s="5">
        <v>45898</v>
      </c>
      <c r="E1172" s="4" t="str">
        <f t="shared" si="98"/>
        <v>2 Tage</v>
      </c>
      <c r="F1172" s="6">
        <v>330</v>
      </c>
      <c r="G1172" s="4" t="str">
        <f t="shared" si="97"/>
        <v>Fachübergreifendes Seminar</v>
      </c>
      <c r="H1172" s="4" t="s">
        <v>11</v>
      </c>
    </row>
    <row r="1173" spans="1:8" x14ac:dyDescent="0.2">
      <c r="A1173" s="4" t="str">
        <f>"26.115/004/2025"</f>
        <v>26.115/004/2025</v>
      </c>
      <c r="B1173" s="4" t="str">
        <f>"Effektives Zeit- und Selbstmanagement - online"</f>
        <v>Effektives Zeit- und Selbstmanagement - online</v>
      </c>
      <c r="C1173" s="5">
        <v>45971</v>
      </c>
      <c r="D1173" s="5">
        <v>45972</v>
      </c>
      <c r="E1173" s="4" t="str">
        <f t="shared" si="98"/>
        <v>2 Tage</v>
      </c>
      <c r="F1173" s="6">
        <v>330</v>
      </c>
      <c r="G1173" s="4" t="str">
        <f t="shared" si="97"/>
        <v>Fachübergreifendes Seminar</v>
      </c>
      <c r="H1173" s="4" t="s">
        <v>11</v>
      </c>
    </row>
    <row r="1174" spans="1:8" x14ac:dyDescent="0.2">
      <c r="A1174" s="4" t="str">
        <f>"26.120/001/2025"</f>
        <v>26.120/001/2025</v>
      </c>
      <c r="B1174" s="4" t="str">
        <f>"Zeitmanagement und Telearbeit - wie passt das zusammen? - online"</f>
        <v>Zeitmanagement und Telearbeit - wie passt das zusammen? - online</v>
      </c>
      <c r="C1174" s="5">
        <v>45671</v>
      </c>
      <c r="D1174" s="5">
        <v>45672</v>
      </c>
      <c r="E1174" s="4" t="str">
        <f t="shared" si="98"/>
        <v>2 Tage</v>
      </c>
      <c r="F1174" s="6">
        <v>330</v>
      </c>
      <c r="G1174" s="4" t="str">
        <f t="shared" si="97"/>
        <v>Fachübergreifendes Seminar</v>
      </c>
      <c r="H1174" s="4" t="s">
        <v>11</v>
      </c>
    </row>
    <row r="1175" spans="1:8" x14ac:dyDescent="0.2">
      <c r="A1175" s="4" t="str">
        <f>"26.127/001/2025"</f>
        <v>26.127/001/2025</v>
      </c>
      <c r="B1175" s="4" t="str">
        <f>"Effektive Einarbeitung - erfolgreiche und zufriedenere Mitarbeitende - online"</f>
        <v>Effektive Einarbeitung - erfolgreiche und zufriedenere Mitarbeitende - online</v>
      </c>
      <c r="C1175" s="5">
        <v>45924</v>
      </c>
      <c r="D1175" s="5">
        <v>45925</v>
      </c>
      <c r="E1175" s="4" t="str">
        <f t="shared" si="98"/>
        <v>2 Tage</v>
      </c>
      <c r="F1175" s="6">
        <v>450</v>
      </c>
      <c r="G1175" s="4" t="str">
        <f t="shared" si="97"/>
        <v>Fachübergreifendes Seminar</v>
      </c>
      <c r="H1175" s="4" t="s">
        <v>11</v>
      </c>
    </row>
    <row r="1176" spans="1:8" x14ac:dyDescent="0.2">
      <c r="A1176" s="4" t="str">
        <f>"26.129/001/2025"</f>
        <v>26.129/001/2025</v>
      </c>
      <c r="B1176" s="4" t="str">
        <f>"Workshop: Urlaubsübergaben sinnvoll planen - damit kein Schreibtisch überläuft! So sorgen wir für eine entspannte Auszeit - online"</f>
        <v>Workshop: Urlaubsübergaben sinnvoll planen - damit kein Schreibtisch überläuft! So sorgen wir für eine entspannte Auszeit - online</v>
      </c>
      <c r="C1176" s="5">
        <v>45821</v>
      </c>
      <c r="D1176" s="5">
        <v>45821</v>
      </c>
      <c r="E1176" s="4" t="str">
        <f>"0,5 Tage"</f>
        <v>0,5 Tage</v>
      </c>
      <c r="F1176" s="6">
        <v>110</v>
      </c>
      <c r="G1176" s="4" t="str">
        <f t="shared" si="97"/>
        <v>Fachübergreifendes Seminar</v>
      </c>
      <c r="H1176" s="4" t="s">
        <v>11</v>
      </c>
    </row>
    <row r="1177" spans="1:8" x14ac:dyDescent="0.2">
      <c r="A1177" s="4" t="str">
        <f>"26.130/001/2025"</f>
        <v>26.130/001/2025</v>
      </c>
      <c r="B1177" s="4" t="str">
        <f>"Die E-Mail-Flut am Arbeitsplatz meistern - online"</f>
        <v>Die E-Mail-Flut am Arbeitsplatz meistern - online</v>
      </c>
      <c r="C1177" s="5">
        <v>45964</v>
      </c>
      <c r="D1177" s="5">
        <v>45965</v>
      </c>
      <c r="E1177" s="4" t="str">
        <f>"2 Tage"</f>
        <v>2 Tage</v>
      </c>
      <c r="F1177" s="6">
        <v>330</v>
      </c>
      <c r="G1177" s="4" t="str">
        <f t="shared" si="97"/>
        <v>Fachübergreifendes Seminar</v>
      </c>
      <c r="H1177" s="4" t="s">
        <v>11</v>
      </c>
    </row>
    <row r="1178" spans="1:8" x14ac:dyDescent="0.2">
      <c r="A1178" s="4" t="str">
        <f>"26.145/001/2025"</f>
        <v>26.145/001/2025</v>
      </c>
      <c r="B1178" s="4" t="str">
        <f>"Sekretariatsmanagement - online"</f>
        <v>Sekretariatsmanagement - online</v>
      </c>
      <c r="C1178" s="5">
        <v>45938</v>
      </c>
      <c r="D1178" s="5">
        <v>45940</v>
      </c>
      <c r="E1178" s="4" t="str">
        <f>"3 Tage"</f>
        <v>3 Tage</v>
      </c>
      <c r="F1178" s="6">
        <v>490</v>
      </c>
      <c r="G1178" s="4" t="str">
        <f>"Fachbezogenes Seminar"</f>
        <v>Fachbezogenes Seminar</v>
      </c>
      <c r="H1178" s="4" t="s">
        <v>11</v>
      </c>
    </row>
    <row r="1179" spans="1:8" x14ac:dyDescent="0.2">
      <c r="A1179" s="4" t="str">
        <f>"26.150/001/2025"</f>
        <v>26.150/001/2025</v>
      </c>
      <c r="B1179" s="4" t="str">
        <f>"Werkstatt-  Innovative digitale Tools im Sekretariat - Möglichkeiten und Grenzen von KI - online"</f>
        <v>Werkstatt-  Innovative digitale Tools im Sekretariat - Möglichkeiten und Grenzen von KI - online</v>
      </c>
      <c r="C1179" s="5">
        <v>45898</v>
      </c>
      <c r="D1179" s="5">
        <v>45926</v>
      </c>
      <c r="E1179" s="4" t="str">
        <f>"2x1 Tag"</f>
        <v>2x1 Tag</v>
      </c>
      <c r="F1179" s="6">
        <v>350</v>
      </c>
      <c r="G1179" s="4"/>
      <c r="H1179" s="4" t="s">
        <v>11</v>
      </c>
    </row>
    <row r="1180" spans="1:8" x14ac:dyDescent="0.2">
      <c r="A1180" s="4" t="str">
        <f>"26.150/001 a/2025"</f>
        <v>26.150/001 a/2025</v>
      </c>
      <c r="B1180" s="4" t="str">
        <f>"Werkstatt: Assistenz 4.0 - von der Sekretärin zur New-Work-Assistenz - online"</f>
        <v>Werkstatt: Assistenz 4.0 - von der Sekretärin zur New-Work-Assistenz - online</v>
      </c>
      <c r="C1180" s="5">
        <v>45898</v>
      </c>
      <c r="D1180" s="5">
        <v>45898</v>
      </c>
      <c r="E1180" s="4"/>
      <c r="F1180" s="6" t="s">
        <v>11</v>
      </c>
      <c r="G1180" s="4" t="str">
        <f t="shared" ref="G1180:G1181" si="99">"Fachübergreifendes Seminar"</f>
        <v>Fachübergreifendes Seminar</v>
      </c>
      <c r="H1180" s="4" t="s">
        <v>11</v>
      </c>
    </row>
    <row r="1181" spans="1:8" x14ac:dyDescent="0.2">
      <c r="A1181" s="4" t="str">
        <f>"26.150/001 b/2025"</f>
        <v>26.150/001 b/2025</v>
      </c>
      <c r="B1181" s="4" t="str">
        <f>"Werkstatt: Assistenz 4.0 - von der Sekretärin zur New-Work-Assistenz - online"</f>
        <v>Werkstatt: Assistenz 4.0 - von der Sekretärin zur New-Work-Assistenz - online</v>
      </c>
      <c r="C1181" s="5">
        <v>45926</v>
      </c>
      <c r="D1181" s="5">
        <v>45926</v>
      </c>
      <c r="E1181" s="4"/>
      <c r="F1181" s="6" t="s">
        <v>11</v>
      </c>
      <c r="G1181" s="4" t="str">
        <f t="shared" si="99"/>
        <v>Fachübergreifendes Seminar</v>
      </c>
      <c r="H1181" s="4" t="s">
        <v>11</v>
      </c>
    </row>
    <row r="1182" spans="1:8" x14ac:dyDescent="0.2">
      <c r="A1182" s="4" t="str">
        <f>"26.245/001/2025"</f>
        <v>26.245/001/2025</v>
      </c>
      <c r="B1182" s="4" t="str">
        <f>"Digitale Meetings effizient und zielorientiert leiten - online"</f>
        <v>Digitale Meetings effizient und zielorientiert leiten - online</v>
      </c>
      <c r="C1182" s="5">
        <v>45959</v>
      </c>
      <c r="D1182" s="5">
        <v>45960</v>
      </c>
      <c r="E1182" s="4" t="str">
        <f>"2 Tage"</f>
        <v>2 Tage</v>
      </c>
      <c r="F1182" s="6">
        <v>330</v>
      </c>
      <c r="G1182" s="4" t="str">
        <f>"Fachübergreifendes Seminar"</f>
        <v>Fachübergreifendes Seminar</v>
      </c>
      <c r="H1182" s="4" t="s">
        <v>11</v>
      </c>
    </row>
    <row r="1183" spans="1:8" x14ac:dyDescent="0.2">
      <c r="A1183" s="4" t="str">
        <f>"26.255/001/2025"</f>
        <v>26.255/001/2025</v>
      </c>
      <c r="B1183" s="4" t="str">
        <f>"Agile Moderationstechniken- ein Werkzeugkasten voll neuer Ideen"</f>
        <v>Agile Moderationstechniken- ein Werkzeugkasten voll neuer Ideen</v>
      </c>
      <c r="C1183" s="5">
        <v>45950</v>
      </c>
      <c r="D1183" s="5">
        <v>45950</v>
      </c>
      <c r="E1183" s="4" t="str">
        <f>"1 Tag"</f>
        <v>1 Tag</v>
      </c>
      <c r="F1183" s="6">
        <v>220</v>
      </c>
      <c r="G1183" s="4" t="str">
        <f>"Fachübergreifendes Seminar"</f>
        <v>Fachübergreifendes Seminar</v>
      </c>
      <c r="H1183" s="4" t="s">
        <v>11</v>
      </c>
    </row>
    <row r="1184" spans="1:8" x14ac:dyDescent="0.2">
      <c r="A1184" s="4" t="str">
        <f>"26.258/001/2025"</f>
        <v>26.258/001/2025</v>
      </c>
      <c r="B1184" s="4" t="str">
        <f>"Moderation virtueller und teilvirtueller Besprechungen - online"</f>
        <v>Moderation virtueller und teilvirtueller Besprechungen - online</v>
      </c>
      <c r="C1184" s="5">
        <v>45995</v>
      </c>
      <c r="D1184" s="5">
        <v>45996</v>
      </c>
      <c r="E1184" s="4" t="str">
        <f>"1,5 Tage"</f>
        <v>1,5 Tage</v>
      </c>
      <c r="F1184" s="6">
        <v>440</v>
      </c>
      <c r="G1184" s="4" t="str">
        <f>"Fachübergreifendes Seminar"</f>
        <v>Fachübergreifendes Seminar</v>
      </c>
      <c r="H1184" s="4" t="s">
        <v>11</v>
      </c>
    </row>
    <row r="1185" spans="1:8" x14ac:dyDescent="0.2">
      <c r="A1185" s="4" t="str">
        <f>"26.315/001/2025"</f>
        <v>26.315/001/2025</v>
      </c>
      <c r="B1185" s="4" t="str">
        <f>"Konzepterstellung und Präsentation -  von einem leeren Blatt Papier zu einem überzeugenden Konzept - online"</f>
        <v>Konzepterstellung und Präsentation -  von einem leeren Blatt Papier zu einem überzeugenden Konzept - online</v>
      </c>
      <c r="C1185" s="5">
        <v>45974</v>
      </c>
      <c r="D1185" s="5">
        <v>45975</v>
      </c>
      <c r="E1185" s="4" t="str">
        <f t="shared" ref="E1185:E1190" si="100">"2 Tage"</f>
        <v>2 Tage</v>
      </c>
      <c r="F1185" s="6">
        <v>330</v>
      </c>
      <c r="G1185" s="4" t="str">
        <f>"Fachübergreifendes Seminar"</f>
        <v>Fachübergreifendes Seminar</v>
      </c>
      <c r="H1185" s="4" t="s">
        <v>11</v>
      </c>
    </row>
    <row r="1186" spans="1:8" x14ac:dyDescent="0.2">
      <c r="A1186" s="4" t="str">
        <f>"26.330/001/2025"</f>
        <v>26.330/001/2025</v>
      </c>
      <c r="B1186" s="4" t="str">
        <f>"Ergebnissicherung durch Protokollführung- online"</f>
        <v>Ergebnissicherung durch Protokollführung- online</v>
      </c>
      <c r="C1186" s="5">
        <v>45677</v>
      </c>
      <c r="D1186" s="5">
        <v>45678</v>
      </c>
      <c r="E1186" s="4" t="str">
        <f t="shared" si="100"/>
        <v>2 Tage</v>
      </c>
      <c r="F1186" s="6">
        <v>330</v>
      </c>
      <c r="G1186" s="4" t="str">
        <f t="shared" ref="G1186:G1193" si="101">"Fachübergreifendes Seminar"</f>
        <v>Fachübergreifendes Seminar</v>
      </c>
      <c r="H1186" s="4" t="s">
        <v>11</v>
      </c>
    </row>
    <row r="1187" spans="1:8" x14ac:dyDescent="0.2">
      <c r="A1187" s="4" t="str">
        <f>"26.330/002/2025"</f>
        <v>26.330/002/2025</v>
      </c>
      <c r="B1187" s="4" t="str">
        <f>"Ergebnissicherung durch Protokollführung- online"</f>
        <v>Ergebnissicherung durch Protokollführung- online</v>
      </c>
      <c r="C1187" s="5">
        <v>45848</v>
      </c>
      <c r="D1187" s="5">
        <v>45849</v>
      </c>
      <c r="E1187" s="4" t="str">
        <f t="shared" si="100"/>
        <v>2 Tage</v>
      </c>
      <c r="F1187" s="6">
        <v>330</v>
      </c>
      <c r="G1187" s="4" t="str">
        <f t="shared" si="101"/>
        <v>Fachübergreifendes Seminar</v>
      </c>
      <c r="H1187" s="4" t="s">
        <v>11</v>
      </c>
    </row>
    <row r="1188" spans="1:8" x14ac:dyDescent="0.2">
      <c r="A1188" s="4" t="str">
        <f>"26.410/001/2025"</f>
        <v>26.410/001/2025</v>
      </c>
      <c r="B1188" s="4" t="str">
        <f>"Gedächtnistraining: Leichter merken, schneller speichern, länger behalten - online"</f>
        <v>Gedächtnistraining: Leichter merken, schneller speichern, länger behalten - online</v>
      </c>
      <c r="C1188" s="5">
        <v>45664</v>
      </c>
      <c r="D1188" s="5">
        <v>45665</v>
      </c>
      <c r="E1188" s="4" t="str">
        <f t="shared" si="100"/>
        <v>2 Tage</v>
      </c>
      <c r="F1188" s="6">
        <v>330</v>
      </c>
      <c r="G1188" s="4" t="str">
        <f t="shared" si="101"/>
        <v>Fachübergreifendes Seminar</v>
      </c>
      <c r="H1188" s="4" t="s">
        <v>11</v>
      </c>
    </row>
    <row r="1189" spans="1:8" x14ac:dyDescent="0.2">
      <c r="A1189" s="4" t="str">
        <f>"26.410/002/2025"</f>
        <v>26.410/002/2025</v>
      </c>
      <c r="B1189" s="4" t="str">
        <f>"Gedächtnistraining: Leichter merken, schneller speichern, länger behalten - online"</f>
        <v>Gedächtnistraining: Leichter merken, schneller speichern, länger behalten - online</v>
      </c>
      <c r="C1189" s="5">
        <v>45792</v>
      </c>
      <c r="D1189" s="5">
        <v>45793</v>
      </c>
      <c r="E1189" s="4" t="str">
        <f t="shared" si="100"/>
        <v>2 Tage</v>
      </c>
      <c r="F1189" s="6">
        <v>330</v>
      </c>
      <c r="G1189" s="4" t="str">
        <f t="shared" si="101"/>
        <v>Fachübergreifendes Seminar</v>
      </c>
      <c r="H1189" s="4" t="s">
        <v>11</v>
      </c>
    </row>
    <row r="1190" spans="1:8" x14ac:dyDescent="0.2">
      <c r="A1190" s="4" t="str">
        <f>"26.420/001/2025"</f>
        <v>26.420/001/2025</v>
      </c>
      <c r="B1190" s="4" t="str">
        <f>"Basis-Seminar Lerntechniken: Fitness im Kopf - online"</f>
        <v>Basis-Seminar Lerntechniken: Fitness im Kopf - online</v>
      </c>
      <c r="C1190" s="5">
        <v>45832</v>
      </c>
      <c r="D1190" s="5">
        <v>45833</v>
      </c>
      <c r="E1190" s="4" t="str">
        <f t="shared" si="100"/>
        <v>2 Tage</v>
      </c>
      <c r="F1190" s="6">
        <v>330</v>
      </c>
      <c r="G1190" s="4" t="str">
        <f t="shared" si="101"/>
        <v>Fachübergreifendes Seminar</v>
      </c>
      <c r="H1190" s="4" t="s">
        <v>11</v>
      </c>
    </row>
    <row r="1191" spans="1:8" x14ac:dyDescent="0.2">
      <c r="A1191" s="4" t="str">
        <f>"26.431/001/2025"</f>
        <v>26.431/001/2025</v>
      </c>
      <c r="B1191" s="4" t="str">
        <f>"Schnell lesen - schneller durch den Textdschungel - kompakt - online"</f>
        <v>Schnell lesen - schneller durch den Textdschungel - kompakt - online</v>
      </c>
      <c r="C1191" s="5">
        <v>45734</v>
      </c>
      <c r="D1191" s="5">
        <v>45734</v>
      </c>
      <c r="E1191" s="4" t="str">
        <f>"1 Tag"</f>
        <v>1 Tag</v>
      </c>
      <c r="F1191" s="6">
        <v>170</v>
      </c>
      <c r="G1191" s="4" t="str">
        <f t="shared" si="101"/>
        <v>Fachübergreifendes Seminar</v>
      </c>
      <c r="H1191" s="4" t="s">
        <v>11</v>
      </c>
    </row>
    <row r="1192" spans="1:8" x14ac:dyDescent="0.2">
      <c r="A1192" s="4" t="str">
        <f>"26.431/002/2025"</f>
        <v>26.431/002/2025</v>
      </c>
      <c r="B1192" s="4" t="str">
        <f>"Schnell lesen - schneller durch den Textdschungel - kompakt - online"</f>
        <v>Schnell lesen - schneller durch den Textdschungel - kompakt - online</v>
      </c>
      <c r="C1192" s="5">
        <v>45980</v>
      </c>
      <c r="D1192" s="5">
        <v>45980</v>
      </c>
      <c r="E1192" s="4" t="str">
        <f>"1 Tag"</f>
        <v>1 Tag</v>
      </c>
      <c r="F1192" s="6">
        <v>170</v>
      </c>
      <c r="G1192" s="4" t="str">
        <f t="shared" si="101"/>
        <v>Fachübergreifendes Seminar</v>
      </c>
      <c r="H1192" s="4" t="s">
        <v>11</v>
      </c>
    </row>
    <row r="1193" spans="1:8" x14ac:dyDescent="0.2">
      <c r="A1193" s="4" t="str">
        <f>"26.450/001/2025"</f>
        <v>26.450/001/2025</v>
      </c>
      <c r="B1193" s="4" t="str">
        <f>"Mentale Fitness - Wissen gezielt abrufen - online"</f>
        <v>Mentale Fitness - Wissen gezielt abrufen - online</v>
      </c>
      <c r="C1193" s="5">
        <v>45824</v>
      </c>
      <c r="D1193" s="5">
        <v>45825</v>
      </c>
      <c r="E1193" s="4" t="str">
        <f>"2 Tage"</f>
        <v>2 Tage</v>
      </c>
      <c r="F1193" s="6">
        <v>330</v>
      </c>
      <c r="G1193" s="4" t="str">
        <f t="shared" si="101"/>
        <v>Fachübergreifendes Seminar</v>
      </c>
      <c r="H1193" s="4" t="s">
        <v>11</v>
      </c>
    </row>
    <row r="1194" spans="1:8" x14ac:dyDescent="0.2">
      <c r="A1194" s="4" t="str">
        <f>"26.455/001/2025"</f>
        <v>26.455/001/2025</v>
      </c>
      <c r="B1194" s="4" t="str">
        <f>"Sketch Noting- Gedankenskizzen durch Visualisierung"</f>
        <v>Sketch Noting- Gedankenskizzen durch Visualisierung</v>
      </c>
      <c r="C1194" s="5">
        <v>45716</v>
      </c>
      <c r="D1194" s="5">
        <v>45716</v>
      </c>
      <c r="E1194" s="4" t="str">
        <f>"1 Tag"</f>
        <v>1 Tag</v>
      </c>
      <c r="F1194" s="6">
        <v>170</v>
      </c>
      <c r="G1194" s="4" t="s">
        <v>17</v>
      </c>
      <c r="H1194" s="4" t="s">
        <v>11</v>
      </c>
    </row>
    <row r="1195" spans="1:8" x14ac:dyDescent="0.2">
      <c r="A1195" s="4" t="str">
        <f>"26.560/001/2025"</f>
        <v>26.560/001/2025</v>
      </c>
      <c r="B1195" s="4" t="str">
        <f>"Ausbilden am Arbeitsplatz - online"</f>
        <v>Ausbilden am Arbeitsplatz - online</v>
      </c>
      <c r="C1195" s="5">
        <v>45894</v>
      </c>
      <c r="D1195" s="5">
        <v>45917</v>
      </c>
      <c r="E1195" s="4" t="str">
        <f>"2x2 Tage"</f>
        <v>2x2 Tage</v>
      </c>
      <c r="F1195" s="6">
        <v>660</v>
      </c>
      <c r="G1195" s="4"/>
      <c r="H1195" s="4" t="s">
        <v>11</v>
      </c>
    </row>
    <row r="1196" spans="1:8" x14ac:dyDescent="0.2">
      <c r="A1196" s="4" t="str">
        <f>"26.560/001 a/2025"</f>
        <v>26.560/001 a/2025</v>
      </c>
      <c r="B1196" s="4" t="str">
        <f>"Ausbilden am Arbeitsplatz - online"</f>
        <v>Ausbilden am Arbeitsplatz - online</v>
      </c>
      <c r="C1196" s="5">
        <v>45894</v>
      </c>
      <c r="D1196" s="5">
        <v>45895</v>
      </c>
      <c r="E1196" s="4"/>
      <c r="F1196" s="6" t="s">
        <v>11</v>
      </c>
      <c r="G1196" s="4" t="str">
        <f>"Fachübergreifendes Seminar"</f>
        <v>Fachübergreifendes Seminar</v>
      </c>
      <c r="H1196" s="4" t="s">
        <v>11</v>
      </c>
    </row>
    <row r="1197" spans="1:8" x14ac:dyDescent="0.2">
      <c r="A1197" s="4" t="str">
        <f>"26.560/001 b/2025"</f>
        <v>26.560/001 b/2025</v>
      </c>
      <c r="B1197" s="4" t="str">
        <f>"Ausbilden am Arbeitsplatz - online"</f>
        <v>Ausbilden am Arbeitsplatz - online</v>
      </c>
      <c r="C1197" s="5">
        <v>45916</v>
      </c>
      <c r="D1197" s="5">
        <v>45917</v>
      </c>
      <c r="E1197" s="4"/>
      <c r="F1197" s="6" t="s">
        <v>11</v>
      </c>
      <c r="G1197" s="4" t="str">
        <f>"Fachübergreifendes Seminar"</f>
        <v>Fachübergreifendes Seminar</v>
      </c>
      <c r="H1197" s="4" t="s">
        <v>11</v>
      </c>
    </row>
    <row r="1198" spans="1:8" x14ac:dyDescent="0.2">
      <c r="A1198" s="4" t="str">
        <f>"26.570/001/2025"</f>
        <v>26.570/001/2025</v>
      </c>
      <c r="B1198" s="4" t="str">
        <f>"Bachelor-Prüfungen vorbereiten, durchführen und bewerten - online"</f>
        <v>Bachelor-Prüfungen vorbereiten, durchführen und bewerten - online</v>
      </c>
      <c r="C1198" s="5">
        <v>45796</v>
      </c>
      <c r="D1198" s="5">
        <v>45797</v>
      </c>
      <c r="E1198" s="4" t="str">
        <f>"2 Tage"</f>
        <v>2 Tage</v>
      </c>
      <c r="F1198" s="6">
        <v>330</v>
      </c>
      <c r="G1198" s="4" t="str">
        <f>"Fachübergreifendes Seminar"</f>
        <v>Fachübergreifendes Seminar</v>
      </c>
      <c r="H1198" s="4" t="s">
        <v>11</v>
      </c>
    </row>
    <row r="1199" spans="1:8" x14ac:dyDescent="0.2">
      <c r="A1199" s="4" t="str">
        <f>"27.130/001/2025"</f>
        <v>27.130/001/2025</v>
      </c>
      <c r="B1199" s="4" t="str">
        <f>"Personalmarketing und Employer Branding im öffentlichen Dienst - online"</f>
        <v>Personalmarketing und Employer Branding im öffentlichen Dienst - online</v>
      </c>
      <c r="C1199" s="5">
        <v>45981</v>
      </c>
      <c r="D1199" s="5">
        <v>45982</v>
      </c>
      <c r="E1199" s="4" t="str">
        <f>"2 Tage"</f>
        <v>2 Tage</v>
      </c>
      <c r="F1199" s="6">
        <v>330</v>
      </c>
      <c r="G1199" s="4" t="str">
        <f t="shared" ref="G1199:G1202" si="102">"Fachübergreifendes Seminar"</f>
        <v>Fachübergreifendes Seminar</v>
      </c>
      <c r="H1199" s="4" t="s">
        <v>11</v>
      </c>
    </row>
    <row r="1200" spans="1:8" x14ac:dyDescent="0.2">
      <c r="A1200" s="4" t="str">
        <f>"27.145/001/2025"</f>
        <v>27.145/001/2025</v>
      </c>
      <c r="B1200" s="4" t="str">
        <f>"Mitarbeiterbindung - Gute Mitarbeiter halten und motivieren - online"</f>
        <v>Mitarbeiterbindung - Gute Mitarbeiter halten und motivieren - online</v>
      </c>
      <c r="C1200" s="5">
        <v>45720</v>
      </c>
      <c r="D1200" s="5">
        <v>45721</v>
      </c>
      <c r="E1200" s="4" t="str">
        <f>"2 Tage"</f>
        <v>2 Tage</v>
      </c>
      <c r="F1200" s="6">
        <v>330</v>
      </c>
      <c r="G1200" s="4" t="str">
        <f t="shared" si="102"/>
        <v>Fachübergreifendes Seminar</v>
      </c>
      <c r="H1200" s="4" t="s">
        <v>11</v>
      </c>
    </row>
    <row r="1201" spans="1:8" x14ac:dyDescent="0.2">
      <c r="A1201" s="4" t="str">
        <f>"27.180/001/2025"</f>
        <v>27.180/001/2025</v>
      </c>
      <c r="B1201" s="4" t="str">
        <f>"Mentoring - Von der Idee bis zur Umsetzung - online"</f>
        <v>Mentoring - Von der Idee bis zur Umsetzung - online</v>
      </c>
      <c r="C1201" s="5">
        <v>45707</v>
      </c>
      <c r="D1201" s="5">
        <v>45708</v>
      </c>
      <c r="E1201" s="4" t="s">
        <v>12</v>
      </c>
      <c r="F1201" s="6">
        <v>330</v>
      </c>
      <c r="G1201" s="4" t="str">
        <f t="shared" si="102"/>
        <v>Fachübergreifendes Seminar</v>
      </c>
      <c r="H1201" s="4" t="s">
        <v>11</v>
      </c>
    </row>
    <row r="1202" spans="1:8" x14ac:dyDescent="0.2">
      <c r="A1202" s="4" t="str">
        <f>"27.230/001/2025"</f>
        <v>27.230/001/2025</v>
      </c>
      <c r="B1202" s="4" t="str">
        <f>"Personalauswahl - Beobachtertraining - online"</f>
        <v>Personalauswahl - Beobachtertraining - online</v>
      </c>
      <c r="C1202" s="5">
        <v>45985</v>
      </c>
      <c r="D1202" s="5">
        <v>45986</v>
      </c>
      <c r="E1202" s="4" t="str">
        <f t="shared" ref="E1202:E1208" si="103">"2 Tage"</f>
        <v>2 Tage</v>
      </c>
      <c r="F1202" s="6">
        <v>330</v>
      </c>
      <c r="G1202" s="4" t="str">
        <f t="shared" si="102"/>
        <v>Fachübergreifendes Seminar</v>
      </c>
      <c r="H1202" s="4" t="s">
        <v>11</v>
      </c>
    </row>
    <row r="1203" spans="1:8" x14ac:dyDescent="0.2">
      <c r="A1203" s="4" t="str">
        <f>"28.112/001/2025"</f>
        <v>28.112/001/2025</v>
      </c>
      <c r="B1203" s="4" t="str">
        <f>"Beamtenrecht - Vertiefung - online"</f>
        <v>Beamtenrecht - Vertiefung - online</v>
      </c>
      <c r="C1203" s="5">
        <v>45701</v>
      </c>
      <c r="D1203" s="5">
        <v>45702</v>
      </c>
      <c r="E1203" s="4" t="str">
        <f t="shared" si="103"/>
        <v>2 Tage</v>
      </c>
      <c r="F1203" s="6">
        <v>310</v>
      </c>
      <c r="G1203" s="4" t="str">
        <f t="shared" ref="G1203:G1211" si="104">"Fachbezogenes Seminar"</f>
        <v>Fachbezogenes Seminar</v>
      </c>
      <c r="H1203" s="4" t="s">
        <v>11</v>
      </c>
    </row>
    <row r="1204" spans="1:8" x14ac:dyDescent="0.2">
      <c r="A1204" s="4" t="str">
        <f>"28.112/002/2025"</f>
        <v>28.112/002/2025</v>
      </c>
      <c r="B1204" s="4" t="str">
        <f>"Beamtenrecht - Vertiefung - online"</f>
        <v>Beamtenrecht - Vertiefung - online</v>
      </c>
      <c r="C1204" s="5">
        <v>45771</v>
      </c>
      <c r="D1204" s="5">
        <v>45772</v>
      </c>
      <c r="E1204" s="4" t="str">
        <f t="shared" si="103"/>
        <v>2 Tage</v>
      </c>
      <c r="F1204" s="6">
        <v>310</v>
      </c>
      <c r="G1204" s="4" t="str">
        <f t="shared" si="104"/>
        <v>Fachbezogenes Seminar</v>
      </c>
      <c r="H1204" s="4" t="s">
        <v>11</v>
      </c>
    </row>
    <row r="1205" spans="1:8" x14ac:dyDescent="0.2">
      <c r="A1205" s="4" t="str">
        <f>"28.112/003/2025"</f>
        <v>28.112/003/2025</v>
      </c>
      <c r="B1205" s="4" t="str">
        <f>"Beamtenrecht - Vertiefung - online"</f>
        <v>Beamtenrecht - Vertiefung - online</v>
      </c>
      <c r="C1205" s="5">
        <v>45967</v>
      </c>
      <c r="D1205" s="5">
        <v>45968</v>
      </c>
      <c r="E1205" s="4" t="str">
        <f t="shared" si="103"/>
        <v>2 Tage</v>
      </c>
      <c r="F1205" s="6">
        <v>310</v>
      </c>
      <c r="G1205" s="4" t="str">
        <f t="shared" si="104"/>
        <v>Fachbezogenes Seminar</v>
      </c>
      <c r="H1205" s="4" t="s">
        <v>11</v>
      </c>
    </row>
    <row r="1206" spans="1:8" x14ac:dyDescent="0.2">
      <c r="A1206" s="4" t="str">
        <f>"28.114/001/2025"</f>
        <v>28.114/001/2025</v>
      </c>
      <c r="B1206" s="4" t="str">
        <f>"Beamtenrecht - Update - online"</f>
        <v>Beamtenrecht - Update - online</v>
      </c>
      <c r="C1206" s="5">
        <v>45743</v>
      </c>
      <c r="D1206" s="5">
        <v>45744</v>
      </c>
      <c r="E1206" s="4" t="str">
        <f t="shared" si="103"/>
        <v>2 Tage</v>
      </c>
      <c r="F1206" s="6">
        <v>310</v>
      </c>
      <c r="G1206" s="4" t="str">
        <f t="shared" si="104"/>
        <v>Fachbezogenes Seminar</v>
      </c>
      <c r="H1206" s="4" t="s">
        <v>11</v>
      </c>
    </row>
    <row r="1207" spans="1:8" x14ac:dyDescent="0.2">
      <c r="A1207" s="4" t="str">
        <f>"28.114/002/2025"</f>
        <v>28.114/002/2025</v>
      </c>
      <c r="B1207" s="4" t="str">
        <f>"Beamtenrecht - Update - online"</f>
        <v>Beamtenrecht - Update - online</v>
      </c>
      <c r="C1207" s="5">
        <v>45834</v>
      </c>
      <c r="D1207" s="5">
        <v>45835</v>
      </c>
      <c r="E1207" s="4" t="str">
        <f t="shared" si="103"/>
        <v>2 Tage</v>
      </c>
      <c r="F1207" s="6">
        <v>310</v>
      </c>
      <c r="G1207" s="4" t="str">
        <f t="shared" si="104"/>
        <v>Fachbezogenes Seminar</v>
      </c>
      <c r="H1207" s="4" t="s">
        <v>11</v>
      </c>
    </row>
    <row r="1208" spans="1:8" x14ac:dyDescent="0.2">
      <c r="A1208" s="4" t="str">
        <f>"28.114/003/2025"</f>
        <v>28.114/003/2025</v>
      </c>
      <c r="B1208" s="4" t="str">
        <f>"Beamtenrecht - Update - online"</f>
        <v>Beamtenrecht - Update - online</v>
      </c>
      <c r="C1208" s="5">
        <v>45931</v>
      </c>
      <c r="D1208" s="5">
        <v>45932</v>
      </c>
      <c r="E1208" s="4" t="str">
        <f t="shared" si="103"/>
        <v>2 Tage</v>
      </c>
      <c r="F1208" s="6">
        <v>310</v>
      </c>
      <c r="G1208" s="4" t="str">
        <f t="shared" si="104"/>
        <v>Fachbezogenes Seminar</v>
      </c>
      <c r="H1208" s="4" t="s">
        <v>11</v>
      </c>
    </row>
    <row r="1209" spans="1:8" x14ac:dyDescent="0.2">
      <c r="A1209" s="4" t="str">
        <f>"28.140/001/2025"</f>
        <v>28.140/001/2025</v>
      </c>
      <c r="B1209" s="4" t="str">
        <f>"Dienstunfallrecht - Grundlagen - online"</f>
        <v>Dienstunfallrecht - Grundlagen - online</v>
      </c>
      <c r="C1209" s="5">
        <v>45715</v>
      </c>
      <c r="D1209" s="5">
        <v>45716</v>
      </c>
      <c r="E1209" s="4" t="str">
        <f>"2 Tage"</f>
        <v>2 Tage</v>
      </c>
      <c r="F1209" s="6">
        <v>310</v>
      </c>
      <c r="G1209" s="4" t="str">
        <f t="shared" si="104"/>
        <v>Fachbezogenes Seminar</v>
      </c>
      <c r="H1209" s="4" t="s">
        <v>11</v>
      </c>
    </row>
    <row r="1210" spans="1:8" x14ac:dyDescent="0.2">
      <c r="A1210" s="4" t="str">
        <f>"28.140/002/2025"</f>
        <v>28.140/002/2025</v>
      </c>
      <c r="B1210" s="4" t="str">
        <f>"Dienstunfallrecht - Grundlagen - online"</f>
        <v>Dienstunfallrecht - Grundlagen - online</v>
      </c>
      <c r="C1210" s="5">
        <v>45960</v>
      </c>
      <c r="D1210" s="5">
        <v>45961</v>
      </c>
      <c r="E1210" s="4" t="str">
        <f>"2 Tage"</f>
        <v>2 Tage</v>
      </c>
      <c r="F1210" s="6">
        <v>310</v>
      </c>
      <c r="G1210" s="4" t="str">
        <f t="shared" si="104"/>
        <v>Fachbezogenes Seminar</v>
      </c>
      <c r="H1210" s="4" t="s">
        <v>11</v>
      </c>
    </row>
    <row r="1211" spans="1:8" x14ac:dyDescent="0.2">
      <c r="A1211" s="4" t="str">
        <f>"28.214/001/2025"</f>
        <v>28.214/001/2025</v>
      </c>
      <c r="B1211" s="4" t="str">
        <f>"Das Allgemeine Gleichbehandlungsgesetz (AGG) - Einführung - online"</f>
        <v>Das Allgemeine Gleichbehandlungsgesetz (AGG) - Einführung - online</v>
      </c>
      <c r="C1211" s="5">
        <v>45804</v>
      </c>
      <c r="D1211" s="5">
        <v>45805</v>
      </c>
      <c r="E1211" s="4" t="str">
        <f>"2 Tage"</f>
        <v>2 Tage</v>
      </c>
      <c r="F1211" s="6">
        <v>330</v>
      </c>
      <c r="G1211" s="4" t="str">
        <f t="shared" si="104"/>
        <v>Fachbezogenes Seminar</v>
      </c>
      <c r="H1211" s="4" t="s">
        <v>11</v>
      </c>
    </row>
    <row r="1212" spans="1:8" x14ac:dyDescent="0.2">
      <c r="A1212" s="4" t="str">
        <f>"28.310/001/2025"</f>
        <v>28.310/001/2025</v>
      </c>
      <c r="B1212" s="4" t="str">
        <f>"Grundlagen des Personalwesens - online"</f>
        <v>Grundlagen des Personalwesens - online</v>
      </c>
      <c r="C1212" s="5">
        <v>45677</v>
      </c>
      <c r="D1212" s="5">
        <v>45679</v>
      </c>
      <c r="E1212" s="4" t="str">
        <f>"3 Tage"</f>
        <v>3 Tage</v>
      </c>
      <c r="F1212" s="6">
        <v>490</v>
      </c>
      <c r="G1212" s="4" t="str">
        <f>"Führungsfortbildung"</f>
        <v>Führungsfortbildung</v>
      </c>
      <c r="H1212" s="4" t="s">
        <v>11</v>
      </c>
    </row>
    <row r="1213" spans="1:8" x14ac:dyDescent="0.2">
      <c r="A1213" s="4" t="str">
        <f>"28.310/002/2025"</f>
        <v>28.310/002/2025</v>
      </c>
      <c r="B1213" s="4" t="str">
        <f>"Grundlagen des Personalwesens - online"</f>
        <v>Grundlagen des Personalwesens - online</v>
      </c>
      <c r="C1213" s="5">
        <v>45978</v>
      </c>
      <c r="D1213" s="5">
        <v>45980</v>
      </c>
      <c r="E1213" s="4" t="str">
        <f>"3 Tage"</f>
        <v>3 Tage</v>
      </c>
      <c r="F1213" s="6">
        <v>490</v>
      </c>
      <c r="G1213" s="4" t="str">
        <f>"Führungsfortbildung"</f>
        <v>Führungsfortbildung</v>
      </c>
      <c r="H1213" s="4" t="s">
        <v>11</v>
      </c>
    </row>
    <row r="1214" spans="1:8" x14ac:dyDescent="0.2">
      <c r="A1214" s="4" t="str">
        <f>"28.314/001/2025"</f>
        <v>28.314/001/2025</v>
      </c>
      <c r="B1214" s="4" t="str">
        <f>"Personalaktenrecht und Personalaktenverwaltung - online"</f>
        <v>Personalaktenrecht und Personalaktenverwaltung - online</v>
      </c>
      <c r="C1214" s="5">
        <v>45748</v>
      </c>
      <c r="D1214" s="5">
        <v>45748</v>
      </c>
      <c r="E1214" s="4" t="str">
        <f>"1 Tag"</f>
        <v>1 Tag</v>
      </c>
      <c r="F1214" s="6">
        <v>140</v>
      </c>
      <c r="G1214" s="4" t="str">
        <f>"Fachbezogenes Seminar"</f>
        <v>Fachbezogenes Seminar</v>
      </c>
      <c r="H1214" s="4" t="s">
        <v>11</v>
      </c>
    </row>
    <row r="1215" spans="1:8" x14ac:dyDescent="0.2">
      <c r="A1215" s="4" t="str">
        <f>"28.410/001/2025"</f>
        <v>28.410/001/2025</v>
      </c>
      <c r="B1215" s="4" t="str">
        <f>"Haushaltsrecht - Einführung - Kameralistik - online"</f>
        <v>Haushaltsrecht - Einführung - Kameralistik - online</v>
      </c>
      <c r="C1215" s="5">
        <v>45754</v>
      </c>
      <c r="D1215" s="5">
        <v>45755</v>
      </c>
      <c r="E1215" s="4" t="str">
        <f>"2 Tage"</f>
        <v>2 Tage</v>
      </c>
      <c r="F1215" s="6">
        <v>270</v>
      </c>
      <c r="G1215" s="4" t="str">
        <f>"Fachbezogenes Seminar"</f>
        <v>Fachbezogenes Seminar</v>
      </c>
      <c r="H1215" s="4" t="s">
        <v>11</v>
      </c>
    </row>
    <row r="1216" spans="1:8" x14ac:dyDescent="0.2">
      <c r="A1216" s="4" t="str">
        <f>"28.410/002/2025"</f>
        <v>28.410/002/2025</v>
      </c>
      <c r="B1216" s="4" t="str">
        <f>"Haushaltsrecht - Einführung - Kameralistik - online"</f>
        <v>Haushaltsrecht - Einführung - Kameralistik - online</v>
      </c>
      <c r="C1216" s="5">
        <v>45992</v>
      </c>
      <c r="D1216" s="5">
        <v>45993</v>
      </c>
      <c r="E1216" s="4" t="str">
        <f>"2 Tage"</f>
        <v>2 Tage</v>
      </c>
      <c r="F1216" s="6">
        <v>270</v>
      </c>
      <c r="G1216" s="4" t="str">
        <f>"Fachbezogenes Seminar"</f>
        <v>Fachbezogenes Seminar</v>
      </c>
      <c r="H1216" s="4" t="s">
        <v>11</v>
      </c>
    </row>
    <row r="1217" spans="1:8" x14ac:dyDescent="0.2">
      <c r="A1217" s="4" t="str">
        <f>"28.411/001/2025"</f>
        <v>28.411/001/2025</v>
      </c>
      <c r="B1217" s="4" t="str">
        <f>"Stellenplanbewirtschaftung - online"</f>
        <v>Stellenplanbewirtschaftung - online</v>
      </c>
      <c r="C1217" s="5">
        <v>45733</v>
      </c>
      <c r="D1217" s="5">
        <v>45733</v>
      </c>
      <c r="E1217" s="4" t="str">
        <f>"1 Tag"</f>
        <v>1 Tag</v>
      </c>
      <c r="F1217" s="6">
        <v>140</v>
      </c>
      <c r="G1217" s="4" t="str">
        <f>"Fachbezogenes Seminar"</f>
        <v>Fachbezogenes Seminar</v>
      </c>
      <c r="H1217" s="4" t="s">
        <v>11</v>
      </c>
    </row>
    <row r="1218" spans="1:8" x14ac:dyDescent="0.2">
      <c r="A1218" s="4" t="str">
        <f>"28.416/001/2025"</f>
        <v>28.416/001/2025</v>
      </c>
      <c r="B1218" s="4" t="str">
        <f>"Der Wandel des Haushaltsrechts - von der Kameralistik zu EPOS.NRW - online"</f>
        <v>Der Wandel des Haushaltsrechts - von der Kameralistik zu EPOS.NRW - online</v>
      </c>
      <c r="C1218" s="5">
        <v>45740</v>
      </c>
      <c r="D1218" s="5">
        <v>45742</v>
      </c>
      <c r="E1218" s="4" t="str">
        <f>"3 Tage"</f>
        <v>3 Tage</v>
      </c>
      <c r="F1218" s="6">
        <v>490</v>
      </c>
      <c r="G1218" s="4" t="str">
        <f>"Führungsfortbildung"</f>
        <v>Führungsfortbildung</v>
      </c>
      <c r="H1218" s="4" t="s">
        <v>11</v>
      </c>
    </row>
    <row r="1219" spans="1:8" x14ac:dyDescent="0.2">
      <c r="A1219" s="4" t="str">
        <f>"28.416/002/2025"</f>
        <v>28.416/002/2025</v>
      </c>
      <c r="B1219" s="4" t="str">
        <f>"Der Wandel des Haushaltsrechts - von der Kameralistik zu EPOS.NRW - online"</f>
        <v>Der Wandel des Haushaltsrechts - von der Kameralistik zu EPOS.NRW - online</v>
      </c>
      <c r="C1219" s="5">
        <v>45896</v>
      </c>
      <c r="D1219" s="5">
        <v>45898</v>
      </c>
      <c r="E1219" s="4" t="str">
        <f>"3 Tage"</f>
        <v>3 Tage</v>
      </c>
      <c r="F1219" s="6">
        <v>490</v>
      </c>
      <c r="G1219" s="4" t="str">
        <f>"Führungsfortbildung"</f>
        <v>Führungsfortbildung</v>
      </c>
      <c r="H1219" s="4" t="s">
        <v>11</v>
      </c>
    </row>
    <row r="1220" spans="1:8" x14ac:dyDescent="0.2">
      <c r="A1220" s="4" t="str">
        <f>"28.416/003/2025"</f>
        <v>28.416/003/2025</v>
      </c>
      <c r="B1220" s="4" t="str">
        <f>"Der Wandel des Haushaltsrechts - von der Kameralistik zu EPOS.NRW - online"</f>
        <v>Der Wandel des Haushaltsrechts - von der Kameralistik zu EPOS.NRW - online</v>
      </c>
      <c r="C1220" s="5">
        <v>45999</v>
      </c>
      <c r="D1220" s="5">
        <v>46001</v>
      </c>
      <c r="E1220" s="4" t="str">
        <f>"3 Tage"</f>
        <v>3 Tage</v>
      </c>
      <c r="F1220" s="6">
        <v>490</v>
      </c>
      <c r="G1220" s="4" t="str">
        <f>"Führungsfortbildung"</f>
        <v>Führungsfortbildung</v>
      </c>
      <c r="H1220" s="4" t="s">
        <v>11</v>
      </c>
    </row>
    <row r="1221" spans="1:8" x14ac:dyDescent="0.2">
      <c r="A1221" s="4" t="str">
        <f>"28.420/001/2025"</f>
        <v>28.420/001/2025</v>
      </c>
      <c r="B1221" s="4" t="str">
        <f>"Haushalts- und Rechnungswesen EPOS.NRW - Grundlagen - Online"</f>
        <v>Haushalts- und Rechnungswesen EPOS.NRW - Grundlagen - Online</v>
      </c>
      <c r="C1221" s="5">
        <v>45909</v>
      </c>
      <c r="D1221" s="5">
        <v>45910</v>
      </c>
      <c r="E1221" s="4" t="str">
        <f>"2 Tage"</f>
        <v>2 Tage</v>
      </c>
      <c r="F1221" s="6">
        <v>230</v>
      </c>
      <c r="G1221" s="4" t="s">
        <v>14</v>
      </c>
      <c r="H1221" s="4" t="s">
        <v>11</v>
      </c>
    </row>
    <row r="1222" spans="1:8" x14ac:dyDescent="0.2">
      <c r="A1222" s="4" t="str">
        <f>"28.611/001/2025"</f>
        <v>28.611/001/2025</v>
      </c>
      <c r="B1222" s="4" t="str">
        <f>"Verhandlungsvergabe von A-Z - online"</f>
        <v>Verhandlungsvergabe von A-Z - online</v>
      </c>
      <c r="C1222" s="5">
        <v>45680</v>
      </c>
      <c r="D1222" s="5">
        <v>45681</v>
      </c>
      <c r="E1222" s="4" t="str">
        <f>"2 Tage"</f>
        <v>2 Tage</v>
      </c>
      <c r="F1222" s="6">
        <v>270</v>
      </c>
      <c r="G1222" s="4" t="str">
        <f>"Fachbezogenes Seminar"</f>
        <v>Fachbezogenes Seminar</v>
      </c>
      <c r="H1222" s="4" t="s">
        <v>11</v>
      </c>
    </row>
    <row r="1223" spans="1:8" x14ac:dyDescent="0.2">
      <c r="A1223" s="4" t="str">
        <f>"28.615/001/2025"</f>
        <v>28.615/001/2025</v>
      </c>
      <c r="B1223" s="4" t="str">
        <f>"Die Vergabeentscheidung - Eignung, Bewertung, Zuschlag - online "</f>
        <v xml:space="preserve">Die Vergabeentscheidung - Eignung, Bewertung, Zuschlag - online </v>
      </c>
      <c r="C1223" s="5">
        <v>45726</v>
      </c>
      <c r="D1223" s="5">
        <v>45727</v>
      </c>
      <c r="E1223" s="4" t="str">
        <f>"2 Tage"</f>
        <v>2 Tage</v>
      </c>
      <c r="F1223" s="6">
        <v>270</v>
      </c>
      <c r="G1223" s="4" t="str">
        <f>"Fachbezogenes Seminar"</f>
        <v>Fachbezogenes Seminar</v>
      </c>
      <c r="H1223" s="4" t="s">
        <v>11</v>
      </c>
    </row>
    <row r="1224" spans="1:8" x14ac:dyDescent="0.2">
      <c r="A1224" s="4" t="str">
        <f>"28.640/001/2025"</f>
        <v>28.640/001/2025</v>
      </c>
      <c r="B1224" s="4" t="str">
        <f>"Vergaberechtliches Grundwissen für Bedarfsstellen im Unterschwellenbereich - online"</f>
        <v>Vergaberechtliches Grundwissen für Bedarfsstellen im Unterschwellenbereich - online</v>
      </c>
      <c r="C1224" s="5">
        <v>45674</v>
      </c>
      <c r="D1224" s="5">
        <v>45674</v>
      </c>
      <c r="E1224" s="4" t="str">
        <f>"1 Tag"</f>
        <v>1 Tag</v>
      </c>
      <c r="F1224" s="6">
        <v>140</v>
      </c>
      <c r="G1224" s="4" t="str">
        <f>"Fachbezogenes Seminar"</f>
        <v>Fachbezogenes Seminar</v>
      </c>
      <c r="H1224" s="4" t="s">
        <v>11</v>
      </c>
    </row>
    <row r="1225" spans="1:8" x14ac:dyDescent="0.2">
      <c r="A1225" s="4" t="str">
        <f>"28.654/001/2025"</f>
        <v>28.654/001/2025</v>
      </c>
      <c r="B1225" s="4" t="str">
        <f>"Nachhaltige öffentliche Beschaffung - qualitative Aspekte in der Vergabeentscheidung - online "</f>
        <v xml:space="preserve">Nachhaltige öffentliche Beschaffung - qualitative Aspekte in der Vergabeentscheidung - online </v>
      </c>
      <c r="C1225" s="5">
        <v>45729</v>
      </c>
      <c r="D1225" s="5">
        <v>45730</v>
      </c>
      <c r="E1225" s="4" t="str">
        <f>"2 Tage"</f>
        <v>2 Tage</v>
      </c>
      <c r="F1225" s="6">
        <v>470</v>
      </c>
      <c r="G1225" s="4" t="str">
        <f>"Fachübergreifendes Seminar"</f>
        <v>Fachübergreifendes Seminar</v>
      </c>
      <c r="H1225" s="4" t="s">
        <v>13</v>
      </c>
    </row>
    <row r="1226" spans="1:8" x14ac:dyDescent="0.2">
      <c r="A1226" s="4" t="str">
        <f>"28.710/001/2025"</f>
        <v>28.710/001/2025</v>
      </c>
      <c r="B1226" s="4" t="str">
        <f>"Rechtliche Grundlagen des Verwaltungshandelns - online"</f>
        <v>Rechtliche Grundlagen des Verwaltungshandelns - online</v>
      </c>
      <c r="C1226" s="5">
        <v>45670</v>
      </c>
      <c r="D1226" s="5">
        <v>45692</v>
      </c>
      <c r="E1226" s="4" t="str">
        <f>"2 x 2 Tage"</f>
        <v>2 x 2 Tage</v>
      </c>
      <c r="F1226" s="6">
        <v>540</v>
      </c>
      <c r="G1226" s="4"/>
      <c r="H1226" s="4" t="s">
        <v>11</v>
      </c>
    </row>
    <row r="1227" spans="1:8" x14ac:dyDescent="0.2">
      <c r="A1227" s="4" t="str">
        <f>"28.710/001 a/2025"</f>
        <v>28.710/001 a/2025</v>
      </c>
      <c r="B1227" s="4" t="str">
        <f>"Rechtliche Grundlagen des Verwaltungshandelns - online"</f>
        <v>Rechtliche Grundlagen des Verwaltungshandelns - online</v>
      </c>
      <c r="C1227" s="5">
        <v>45670</v>
      </c>
      <c r="D1227" s="5">
        <v>45671</v>
      </c>
      <c r="E1227" s="4"/>
      <c r="F1227" s="6" t="s">
        <v>11</v>
      </c>
      <c r="G1227" s="4" t="str">
        <f>"Fachbezogenes Seminar"</f>
        <v>Fachbezogenes Seminar</v>
      </c>
      <c r="H1227" s="4" t="s">
        <v>11</v>
      </c>
    </row>
    <row r="1228" spans="1:8" x14ac:dyDescent="0.2">
      <c r="A1228" s="4" t="str">
        <f>"28.710/001 b/2025"</f>
        <v>28.710/001 b/2025</v>
      </c>
      <c r="B1228" s="4" t="str">
        <f>"Rechtliche Grundlagen des Verwaltungshandelns - online"</f>
        <v>Rechtliche Grundlagen des Verwaltungshandelns - online</v>
      </c>
      <c r="C1228" s="5">
        <v>45691</v>
      </c>
      <c r="D1228" s="5">
        <v>45692</v>
      </c>
      <c r="E1228" s="4"/>
      <c r="F1228" s="6" t="s">
        <v>11</v>
      </c>
      <c r="G1228" s="4" t="str">
        <f>"Fachbezogenes Seminar"</f>
        <v>Fachbezogenes Seminar</v>
      </c>
      <c r="H1228" s="4" t="s">
        <v>11</v>
      </c>
    </row>
    <row r="1229" spans="1:8" x14ac:dyDescent="0.2">
      <c r="A1229" s="4" t="str">
        <f>"28.712/001/2025"</f>
        <v>28.712/001/2025</v>
      </c>
      <c r="B1229" s="4" t="str">
        <f>"Aufbau der Landesverwaltung NRW - online"</f>
        <v>Aufbau der Landesverwaltung NRW - online</v>
      </c>
      <c r="C1229" s="5">
        <v>45684</v>
      </c>
      <c r="D1229" s="5">
        <v>45684</v>
      </c>
      <c r="E1229" s="4" t="str">
        <f>"1 Tag "</f>
        <v xml:space="preserve">1 Tag </v>
      </c>
      <c r="F1229" s="6">
        <v>140</v>
      </c>
      <c r="G1229" s="4" t="str">
        <f>"Fachbezogenes Seminar"</f>
        <v>Fachbezogenes Seminar</v>
      </c>
      <c r="H1229" s="4" t="s">
        <v>11</v>
      </c>
    </row>
    <row r="1230" spans="1:8" x14ac:dyDescent="0.2">
      <c r="A1230" s="4" t="str">
        <f>"28.716/001/2025"</f>
        <v>28.716/001/2025</v>
      </c>
      <c r="B1230" s="4" t="str">
        <f>"Grundlagen der Verwaltungsarbeit - neu in der Vorgangsbearbeitung - online"</f>
        <v>Grundlagen der Verwaltungsarbeit - neu in der Vorgangsbearbeitung - online</v>
      </c>
      <c r="C1230" s="5">
        <v>45715</v>
      </c>
      <c r="D1230" s="5">
        <v>45716</v>
      </c>
      <c r="E1230" s="4" t="str">
        <f t="shared" ref="E1230:E1238" si="105">"2 Tage"</f>
        <v>2 Tage</v>
      </c>
      <c r="F1230" s="6">
        <v>270</v>
      </c>
      <c r="G1230" s="4" t="str">
        <f>"Fachübergreifendes Seminar"</f>
        <v>Fachübergreifendes Seminar</v>
      </c>
      <c r="H1230" s="4" t="s">
        <v>11</v>
      </c>
    </row>
    <row r="1231" spans="1:8" x14ac:dyDescent="0.2">
      <c r="A1231" s="4" t="str">
        <f>"28.718/002/2025"</f>
        <v>28.718/002/2025</v>
      </c>
      <c r="B1231" s="4" t="str">
        <f>"Grundlagen des Verwaltungshandelns und der Verwaltungsarbeit - online"</f>
        <v>Grundlagen des Verwaltungshandelns und der Verwaltungsarbeit - online</v>
      </c>
      <c r="C1231" s="5">
        <v>45757</v>
      </c>
      <c r="D1231" s="5">
        <v>45758</v>
      </c>
      <c r="E1231" s="4" t="str">
        <f t="shared" si="105"/>
        <v>2 Tage</v>
      </c>
      <c r="F1231" s="6">
        <v>270</v>
      </c>
      <c r="G1231" s="4" t="str">
        <f t="shared" ref="G1231:G1242" si="106">"Fachbezogenes Seminar"</f>
        <v>Fachbezogenes Seminar</v>
      </c>
      <c r="H1231" s="4" t="s">
        <v>11</v>
      </c>
    </row>
    <row r="1232" spans="1:8" x14ac:dyDescent="0.2">
      <c r="A1232" s="4" t="str">
        <f>"28.730/001/2025"</f>
        <v>28.730/001/2025</v>
      </c>
      <c r="B1232" s="4" t="str">
        <f>"Recht der Gefahrenabwehr - Grundlagen - kompakt - online"</f>
        <v>Recht der Gefahrenabwehr - Grundlagen - kompakt - online</v>
      </c>
      <c r="C1232" s="5">
        <v>45825</v>
      </c>
      <c r="D1232" s="5">
        <v>45826</v>
      </c>
      <c r="E1232" s="4" t="str">
        <f t="shared" si="105"/>
        <v>2 Tage</v>
      </c>
      <c r="F1232" s="6">
        <v>310</v>
      </c>
      <c r="G1232" s="4" t="str">
        <f t="shared" si="106"/>
        <v>Fachbezogenes Seminar</v>
      </c>
      <c r="H1232" s="4" t="s">
        <v>11</v>
      </c>
    </row>
    <row r="1233" spans="1:8" x14ac:dyDescent="0.2">
      <c r="A1233" s="4" t="str">
        <f>"28.730/002/2025"</f>
        <v>28.730/002/2025</v>
      </c>
      <c r="B1233" s="4" t="str">
        <f>"Recht der Gefahrenabwehr - Grundlagen - kompakt - online"</f>
        <v>Recht der Gefahrenabwehr - Grundlagen - kompakt - online</v>
      </c>
      <c r="C1233" s="5">
        <v>45925</v>
      </c>
      <c r="D1233" s="5">
        <v>45926</v>
      </c>
      <c r="E1233" s="4" t="str">
        <f t="shared" si="105"/>
        <v>2 Tage</v>
      </c>
      <c r="F1233" s="6">
        <v>310</v>
      </c>
      <c r="G1233" s="4" t="str">
        <f t="shared" si="106"/>
        <v>Fachbezogenes Seminar</v>
      </c>
      <c r="H1233" s="4" t="s">
        <v>11</v>
      </c>
    </row>
    <row r="1234" spans="1:8" x14ac:dyDescent="0.2">
      <c r="A1234" s="4" t="str">
        <f>"28.736/001/2025"</f>
        <v>28.736/001/2025</v>
      </c>
      <c r="B1234" s="4" t="str">
        <f>"Ordnungswidrigkeitenrecht - Vertiefung - online"</f>
        <v>Ordnungswidrigkeitenrecht - Vertiefung - online</v>
      </c>
      <c r="C1234" s="5">
        <v>45722</v>
      </c>
      <c r="D1234" s="5">
        <v>45723</v>
      </c>
      <c r="E1234" s="4" t="str">
        <f t="shared" si="105"/>
        <v>2 Tage</v>
      </c>
      <c r="F1234" s="6">
        <v>310</v>
      </c>
      <c r="G1234" s="4" t="str">
        <f t="shared" si="106"/>
        <v>Fachbezogenes Seminar</v>
      </c>
      <c r="H1234" s="4" t="s">
        <v>11</v>
      </c>
    </row>
    <row r="1235" spans="1:8" x14ac:dyDescent="0.2">
      <c r="A1235" s="4" t="str">
        <f>"28.736/002/2025"</f>
        <v>28.736/002/2025</v>
      </c>
      <c r="B1235" s="4" t="str">
        <f>"Ordnungswidrigkeitenrecht - Vertiefung - online"</f>
        <v>Ordnungswidrigkeitenrecht - Vertiefung - online</v>
      </c>
      <c r="C1235" s="5">
        <v>45981</v>
      </c>
      <c r="D1235" s="5">
        <v>45982</v>
      </c>
      <c r="E1235" s="4" t="str">
        <f t="shared" si="105"/>
        <v>2 Tage</v>
      </c>
      <c r="F1235" s="6">
        <v>310</v>
      </c>
      <c r="G1235" s="4" t="str">
        <f t="shared" si="106"/>
        <v>Fachbezogenes Seminar</v>
      </c>
      <c r="H1235" s="4" t="s">
        <v>11</v>
      </c>
    </row>
    <row r="1236" spans="1:8" x14ac:dyDescent="0.2">
      <c r="A1236" s="4" t="str">
        <f>"28.747/001/2025"</f>
        <v>28.747/001/2025</v>
      </c>
      <c r="B1236" s="4" t="str">
        <f>"Strafrecht im öffentlichen Dienst - Einführung - online"</f>
        <v>Strafrecht im öffentlichen Dienst - Einführung - online</v>
      </c>
      <c r="C1236" s="5">
        <v>45736</v>
      </c>
      <c r="D1236" s="5">
        <v>45737</v>
      </c>
      <c r="E1236" s="4" t="str">
        <f t="shared" si="105"/>
        <v>2 Tage</v>
      </c>
      <c r="F1236" s="6">
        <v>310</v>
      </c>
      <c r="G1236" s="4" t="str">
        <f t="shared" si="106"/>
        <v>Fachbezogenes Seminar</v>
      </c>
      <c r="H1236" s="4" t="s">
        <v>11</v>
      </c>
    </row>
    <row r="1237" spans="1:8" x14ac:dyDescent="0.2">
      <c r="A1237" s="4" t="str">
        <f>"28.747/002/2025"</f>
        <v>28.747/002/2025</v>
      </c>
      <c r="B1237" s="4" t="str">
        <f>"Strafrecht im öffentlichen Dienst - Einführung - online"</f>
        <v>Strafrecht im öffentlichen Dienst - Einführung - online</v>
      </c>
      <c r="C1237" s="5">
        <v>45988</v>
      </c>
      <c r="D1237" s="5">
        <v>45989</v>
      </c>
      <c r="E1237" s="4" t="str">
        <f t="shared" si="105"/>
        <v>2 Tage</v>
      </c>
      <c r="F1237" s="6">
        <v>310</v>
      </c>
      <c r="G1237" s="4" t="str">
        <f t="shared" si="106"/>
        <v>Fachbezogenes Seminar</v>
      </c>
      <c r="H1237" s="4" t="s">
        <v>11</v>
      </c>
    </row>
    <row r="1238" spans="1:8" x14ac:dyDescent="0.2">
      <c r="A1238" s="4" t="str">
        <f>"28.760/001/2025"</f>
        <v>28.760/001/2025</v>
      </c>
      <c r="B1238" s="4" t="str">
        <f>"Datenschutzrecht NRW - Grundlagen - online"</f>
        <v>Datenschutzrecht NRW - Grundlagen - online</v>
      </c>
      <c r="C1238" s="5">
        <v>45666</v>
      </c>
      <c r="D1238" s="5">
        <v>45667</v>
      </c>
      <c r="E1238" s="4" t="str">
        <f t="shared" si="105"/>
        <v>2 Tage</v>
      </c>
      <c r="F1238" s="6">
        <v>270</v>
      </c>
      <c r="G1238" s="4" t="str">
        <f t="shared" si="106"/>
        <v>Fachbezogenes Seminar</v>
      </c>
      <c r="H1238" s="4" t="s">
        <v>11</v>
      </c>
    </row>
    <row r="1239" spans="1:8" x14ac:dyDescent="0.2">
      <c r="A1239" s="4" t="str">
        <f>"28.762/001/2025"</f>
        <v>28.762/001/2025</v>
      </c>
      <c r="B1239" s="4" t="str">
        <f>"Informationsfreiheitsgesetz NRW (IFG) und Umweltinformationsgesetz (UIG) - online"</f>
        <v>Informationsfreiheitsgesetz NRW (IFG) und Umweltinformationsgesetz (UIG) - online</v>
      </c>
      <c r="C1239" s="5">
        <v>45712</v>
      </c>
      <c r="D1239" s="5">
        <v>45712</v>
      </c>
      <c r="E1239" s="4" t="str">
        <f>"1 Tag"</f>
        <v>1 Tag</v>
      </c>
      <c r="F1239" s="6">
        <v>140</v>
      </c>
      <c r="G1239" s="4" t="str">
        <f t="shared" si="106"/>
        <v>Fachbezogenes Seminar</v>
      </c>
      <c r="H1239" s="4" t="s">
        <v>11</v>
      </c>
    </row>
    <row r="1240" spans="1:8" x14ac:dyDescent="0.2">
      <c r="A1240" s="4" t="str">
        <f>"28.768/001/2025"</f>
        <v>28.768/001/2025</v>
      </c>
      <c r="B1240" s="4" t="str">
        <f>"Grundlagen Datenschutz - kompakt - online"</f>
        <v>Grundlagen Datenschutz - kompakt - online</v>
      </c>
      <c r="C1240" s="5">
        <v>45705</v>
      </c>
      <c r="D1240" s="5">
        <v>45705</v>
      </c>
      <c r="E1240" s="4" t="str">
        <f>"1 Tag"</f>
        <v>1 Tag</v>
      </c>
      <c r="F1240" s="6">
        <v>140</v>
      </c>
      <c r="G1240" s="4" t="str">
        <f t="shared" si="106"/>
        <v>Fachbezogenes Seminar</v>
      </c>
      <c r="H1240" s="4" t="s">
        <v>11</v>
      </c>
    </row>
    <row r="1241" spans="1:8" x14ac:dyDescent="0.2">
      <c r="A1241" s="4" t="str">
        <f>"28.769/001/2025"</f>
        <v>28.769/001/2025</v>
      </c>
      <c r="B1241" s="4" t="str">
        <f>"Beschäftigtendatenschutz - online"</f>
        <v>Beschäftigtendatenschutz - online</v>
      </c>
      <c r="C1241" s="5">
        <v>45702</v>
      </c>
      <c r="D1241" s="5">
        <v>45702</v>
      </c>
      <c r="E1241" s="4" t="str">
        <f>"1 Tag"</f>
        <v>1 Tag</v>
      </c>
      <c r="F1241" s="6">
        <v>170</v>
      </c>
      <c r="G1241" s="4" t="str">
        <f t="shared" si="106"/>
        <v>Fachbezogenes Seminar</v>
      </c>
      <c r="H1241" s="4" t="s">
        <v>11</v>
      </c>
    </row>
    <row r="1242" spans="1:8" x14ac:dyDescent="0.2">
      <c r="A1242" s="4" t="str">
        <f>"28.780/001/2025"</f>
        <v>28.780/001/2025</v>
      </c>
      <c r="B1242" s="4" t="str">
        <f>"Gewerbliches Mietrecht - online"</f>
        <v>Gewerbliches Mietrecht - online</v>
      </c>
      <c r="C1242" s="5">
        <v>45776</v>
      </c>
      <c r="D1242" s="5">
        <v>45777</v>
      </c>
      <c r="E1242" s="4" t="str">
        <f>"1,5 Tage"</f>
        <v>1,5 Tage</v>
      </c>
      <c r="F1242" s="6">
        <v>220</v>
      </c>
      <c r="G1242" s="4" t="str">
        <f t="shared" si="106"/>
        <v>Fachbezogenes Seminar</v>
      </c>
      <c r="H1242" s="4" t="s">
        <v>11</v>
      </c>
    </row>
    <row r="1243" spans="1:8" x14ac:dyDescent="0.2">
      <c r="A1243" s="4" t="str">
        <f>"29.110/001/2025"</f>
        <v>29.110/001/2025</v>
      </c>
      <c r="B1243" s="4" t="str">
        <f>"Die Europäische Union - ihre Organe und Entscheidungsprozesse - online"</f>
        <v>Die Europäische Union - ihre Organe und Entscheidungsprozesse - online</v>
      </c>
      <c r="C1243" s="5">
        <v>45665</v>
      </c>
      <c r="D1243" s="5">
        <v>45666</v>
      </c>
      <c r="E1243" s="4" t="str">
        <f t="shared" ref="E1243:E1249" si="107">"2 Tage"</f>
        <v>2 Tage</v>
      </c>
      <c r="F1243" s="6">
        <v>270</v>
      </c>
      <c r="G1243" s="4" t="str">
        <f>"Führungsfortbildung"</f>
        <v>Führungsfortbildung</v>
      </c>
      <c r="H1243" s="4" t="s">
        <v>11</v>
      </c>
    </row>
    <row r="1244" spans="1:8" x14ac:dyDescent="0.2">
      <c r="A1244" s="4" t="str">
        <f>"29.110/002/2025"</f>
        <v>29.110/002/2025</v>
      </c>
      <c r="B1244" s="4" t="str">
        <f>"Die Europäische Union - ihre Organe und Entscheidungsprozesse - online"</f>
        <v>Die Europäische Union - ihre Organe und Entscheidungsprozesse - online</v>
      </c>
      <c r="C1244" s="5">
        <v>45687</v>
      </c>
      <c r="D1244" s="5">
        <v>45688</v>
      </c>
      <c r="E1244" s="4" t="str">
        <f t="shared" si="107"/>
        <v>2 Tage</v>
      </c>
      <c r="F1244" s="6">
        <v>270</v>
      </c>
      <c r="G1244" s="4" t="str">
        <f>"Führungsfortbildung"</f>
        <v>Führungsfortbildung</v>
      </c>
      <c r="H1244" s="4" t="s">
        <v>11</v>
      </c>
    </row>
    <row r="1245" spans="1:8" x14ac:dyDescent="0.2">
      <c r="A1245" s="4" t="str">
        <f>"29.110/003/2025"</f>
        <v>29.110/003/2025</v>
      </c>
      <c r="B1245" s="4" t="str">
        <f>"Die Europäische Union - ihre Organe und Entscheidungsprozesse - online"</f>
        <v>Die Europäische Union - ihre Organe und Entscheidungsprozesse - online</v>
      </c>
      <c r="C1245" s="5">
        <v>45749</v>
      </c>
      <c r="D1245" s="5">
        <v>45750</v>
      </c>
      <c r="E1245" s="4" t="str">
        <f t="shared" si="107"/>
        <v>2 Tage</v>
      </c>
      <c r="F1245" s="6">
        <v>270</v>
      </c>
      <c r="G1245" s="4" t="str">
        <f>"Führungsfortbildung"</f>
        <v>Führungsfortbildung</v>
      </c>
      <c r="H1245" s="4" t="s">
        <v>11</v>
      </c>
    </row>
    <row r="1246" spans="1:8" x14ac:dyDescent="0.2">
      <c r="A1246" s="4" t="str">
        <f>"29.110/004/2025"</f>
        <v>29.110/004/2025</v>
      </c>
      <c r="B1246" s="4" t="str">
        <f>"Die Europäische Union - ihre Organe und Entscheidungsprozesse - online"</f>
        <v>Die Europäische Union - ihre Organe und Entscheidungsprozesse - online</v>
      </c>
      <c r="C1246" s="5">
        <v>45798</v>
      </c>
      <c r="D1246" s="5">
        <v>45799</v>
      </c>
      <c r="E1246" s="4" t="str">
        <f t="shared" si="107"/>
        <v>2 Tage</v>
      </c>
      <c r="F1246" s="6">
        <v>270</v>
      </c>
      <c r="G1246" s="4" t="str">
        <f>"Führungsfortbildung"</f>
        <v>Führungsfortbildung</v>
      </c>
      <c r="H1246" s="4" t="s">
        <v>11</v>
      </c>
    </row>
    <row r="1247" spans="1:8" x14ac:dyDescent="0.2">
      <c r="A1247" s="4" t="str">
        <f>"29.110/005/2025"</f>
        <v>29.110/005/2025</v>
      </c>
      <c r="B1247" s="4" t="str">
        <f>"Die Europäische Union - ihre Organe und Entscheidungsprozesse - online"</f>
        <v>Die Europäische Union - ihre Organe und Entscheidungsprozesse - online</v>
      </c>
      <c r="C1247" s="5">
        <v>45946</v>
      </c>
      <c r="D1247" s="5">
        <v>45947</v>
      </c>
      <c r="E1247" s="4" t="str">
        <f t="shared" si="107"/>
        <v>2 Tage</v>
      </c>
      <c r="F1247" s="6">
        <v>270</v>
      </c>
      <c r="G1247" s="4" t="str">
        <f>"Führungsfortbildung"</f>
        <v>Führungsfortbildung</v>
      </c>
      <c r="H1247" s="4" t="s">
        <v>11</v>
      </c>
    </row>
    <row r="1248" spans="1:8" x14ac:dyDescent="0.2">
      <c r="A1248" s="4" t="str">
        <f>"29.330/001/2025"</f>
        <v>29.330/001/2025</v>
      </c>
      <c r="B1248" s="4" t="str">
        <f>"Finanzkontrolle Strukturfondsförderung - Grundlagen des Zuwendungsrechts im Kontext der Europäischen Strukturfonds - online"</f>
        <v>Finanzkontrolle Strukturfondsförderung - Grundlagen des Zuwendungsrechts im Kontext der Europäischen Strukturfonds - online</v>
      </c>
      <c r="C1248" s="5">
        <v>45924</v>
      </c>
      <c r="D1248" s="5">
        <v>45925</v>
      </c>
      <c r="E1248" s="4" t="str">
        <f t="shared" si="107"/>
        <v>2 Tage</v>
      </c>
      <c r="F1248" s="6">
        <v>470</v>
      </c>
      <c r="G1248" s="4" t="str">
        <f>"Fachbezogenes Seminar"</f>
        <v>Fachbezogenes Seminar</v>
      </c>
      <c r="H1248" s="4" t="s">
        <v>13</v>
      </c>
    </row>
    <row r="1249" spans="1:8" x14ac:dyDescent="0.2">
      <c r="A1249" s="4" t="str">
        <f>"31.110/001/2025"</f>
        <v>31.110/001/2025</v>
      </c>
      <c r="B1249" s="4" t="str">
        <f>"New Work: Denkbar - agile Arbeitsmethoden im Wandel der Digitalisierung - online"</f>
        <v>New Work: Denkbar - agile Arbeitsmethoden im Wandel der Digitalisierung - online</v>
      </c>
      <c r="C1249" s="5">
        <v>45789</v>
      </c>
      <c r="D1249" s="5">
        <v>45790</v>
      </c>
      <c r="E1249" s="4" t="str">
        <f t="shared" si="107"/>
        <v>2 Tage</v>
      </c>
      <c r="F1249" s="6">
        <v>330</v>
      </c>
      <c r="G1249" s="4" t="str">
        <f>"Fachübergreifendes Seminar"</f>
        <v>Fachübergreifendes Seminar</v>
      </c>
      <c r="H1249" s="4" t="s">
        <v>11</v>
      </c>
    </row>
    <row r="1250" spans="1:8" x14ac:dyDescent="0.2">
      <c r="A1250" s="4" t="str">
        <f>"31.120/001/2025"</f>
        <v>31.120/001/2025</v>
      </c>
      <c r="B1250" s="4" t="str">
        <f>"New Work Impulstag: Change Management mit Theory U - online"</f>
        <v>New Work Impulstag: Change Management mit Theory U - online</v>
      </c>
      <c r="C1250" s="5">
        <v>46002</v>
      </c>
      <c r="D1250" s="5">
        <v>46002</v>
      </c>
      <c r="E1250" s="4" t="str">
        <f>"1 Tag"</f>
        <v>1 Tag</v>
      </c>
      <c r="F1250" s="6">
        <v>170</v>
      </c>
      <c r="G1250" s="4" t="str">
        <f>"Fachübergreifendes Seminar"</f>
        <v>Fachübergreifendes Seminar</v>
      </c>
      <c r="H1250" s="4" t="s">
        <v>11</v>
      </c>
    </row>
    <row r="1251" spans="1:8" x14ac:dyDescent="0.2">
      <c r="A1251" s="4" t="str">
        <f>"31.125/001/2025"</f>
        <v>31.125/001/2025</v>
      </c>
      <c r="B1251" s="4" t="str">
        <f>"New Work Impulstag: Innovative Verwaltungskultur mit Design Thinking - online"</f>
        <v>New Work Impulstag: Innovative Verwaltungskultur mit Design Thinking - online</v>
      </c>
      <c r="C1251" s="5">
        <v>45726</v>
      </c>
      <c r="D1251" s="5">
        <v>45726</v>
      </c>
      <c r="E1251" s="4" t="str">
        <f>"1 Tag"</f>
        <v>1 Tag</v>
      </c>
      <c r="F1251" s="6">
        <v>170</v>
      </c>
      <c r="G1251" s="4" t="str">
        <f>"Fachübergreifendes Seminar"</f>
        <v>Fachübergreifendes Seminar</v>
      </c>
      <c r="H1251" s="4" t="s">
        <v>11</v>
      </c>
    </row>
    <row r="1252" spans="1:8" x14ac:dyDescent="0.2">
      <c r="A1252" s="4" t="str">
        <f>"31.132/001/2025"</f>
        <v>31.132/001/2025</v>
      </c>
      <c r="B1252" s="4" t="str">
        <f>"New Work: Workshop Innovatives Wissensmanagement für alle - damit wir wissen, was wir wissen (und was nicht) - online"</f>
        <v>New Work: Workshop Innovatives Wissensmanagement für alle - damit wir wissen, was wir wissen (und was nicht) - online</v>
      </c>
      <c r="C1252" s="5">
        <v>45903</v>
      </c>
      <c r="D1252" s="5">
        <v>45903</v>
      </c>
      <c r="E1252" s="4" t="str">
        <f>"1 Tag"</f>
        <v>1 Tag</v>
      </c>
      <c r="F1252" s="6">
        <v>170</v>
      </c>
      <c r="G1252" s="4" t="str">
        <f t="shared" ref="G1252:G1266" si="108">"Fachübergreifendes Seminar"</f>
        <v>Fachübergreifendes Seminar</v>
      </c>
      <c r="H1252" s="4" t="s">
        <v>11</v>
      </c>
    </row>
    <row r="1253" spans="1:8" x14ac:dyDescent="0.2">
      <c r="A1253" s="4" t="str">
        <f>"31.135/001/2025"</f>
        <v>31.135/001/2025</v>
      </c>
      <c r="B1253" s="4" t="str">
        <f>"New Work: Design Thinking in der Verwaltungspraxis - online"</f>
        <v>New Work: Design Thinking in der Verwaltungspraxis - online</v>
      </c>
      <c r="C1253" s="5">
        <v>45925</v>
      </c>
      <c r="D1253" s="5">
        <v>45926</v>
      </c>
      <c r="E1253" s="4" t="str">
        <f>"2 Tage"</f>
        <v>2 Tage</v>
      </c>
      <c r="F1253" s="6">
        <v>330</v>
      </c>
      <c r="G1253" s="4" t="str">
        <f t="shared" si="108"/>
        <v>Fachübergreifendes Seminar</v>
      </c>
      <c r="H1253" s="4" t="s">
        <v>11</v>
      </c>
    </row>
    <row r="1254" spans="1:8" x14ac:dyDescent="0.2">
      <c r="A1254" s="4" t="str">
        <f>"31.137/001/2025"</f>
        <v>31.137/001/2025</v>
      </c>
      <c r="B1254" s="4" t="str">
        <f>"Workshop: Generationenübergreifende Zusammenarbeit fördern - Gemeinsam Wissen für die Zukunft sichern - online -"</f>
        <v>Workshop: Generationenübergreifende Zusammenarbeit fördern - Gemeinsam Wissen für die Zukunft sichern - online -</v>
      </c>
      <c r="C1254" s="5">
        <v>45776</v>
      </c>
      <c r="D1254" s="5">
        <v>45776</v>
      </c>
      <c r="E1254" s="4" t="str">
        <f>"0,5 Tage"</f>
        <v>0,5 Tage</v>
      </c>
      <c r="F1254" s="6">
        <v>110</v>
      </c>
      <c r="G1254" s="4" t="str">
        <f t="shared" si="108"/>
        <v>Fachübergreifendes Seminar</v>
      </c>
      <c r="H1254" s="4" t="s">
        <v>11</v>
      </c>
    </row>
    <row r="1255" spans="1:8" x14ac:dyDescent="0.2">
      <c r="A1255" s="4" t="str">
        <f>"31.140/001/2025"</f>
        <v>31.140/001/2025</v>
      </c>
      <c r="B1255" s="4" t="str">
        <f>"New Work: Kanban Arbeitsplanung leicht gemacht - online"</f>
        <v>New Work: Kanban Arbeitsplanung leicht gemacht - online</v>
      </c>
      <c r="C1255" s="5">
        <v>45685</v>
      </c>
      <c r="D1255" s="5">
        <v>45685</v>
      </c>
      <c r="E1255" s="4" t="str">
        <f>"1 Tag"</f>
        <v>1 Tag</v>
      </c>
      <c r="F1255" s="6">
        <v>170</v>
      </c>
      <c r="G1255" s="4" t="str">
        <f t="shared" si="108"/>
        <v>Fachübergreifendes Seminar</v>
      </c>
      <c r="H1255" s="4" t="s">
        <v>11</v>
      </c>
    </row>
    <row r="1256" spans="1:8" x14ac:dyDescent="0.2">
      <c r="A1256" s="4" t="str">
        <f>"31.145/001/2025"</f>
        <v>31.145/001/2025</v>
      </c>
      <c r="B1256" s="4" t="str">
        <f>"New Work: Agiles Projektmanagement - neue Methoden im dynamischen Umfeld - online"</f>
        <v>New Work: Agiles Projektmanagement - neue Methoden im dynamischen Umfeld - online</v>
      </c>
      <c r="C1256" s="5">
        <v>45810</v>
      </c>
      <c r="D1256" s="5">
        <v>45811</v>
      </c>
      <c r="E1256" s="4" t="str">
        <f>"2 Tage"</f>
        <v>2 Tage</v>
      </c>
      <c r="F1256" s="6">
        <v>330</v>
      </c>
      <c r="G1256" s="4" t="str">
        <f t="shared" si="108"/>
        <v>Fachübergreifendes Seminar</v>
      </c>
      <c r="H1256" s="4" t="s">
        <v>11</v>
      </c>
    </row>
    <row r="1257" spans="1:8" x14ac:dyDescent="0.2">
      <c r="A1257" s="4" t="str">
        <f>"31.165/001/2025"</f>
        <v>31.165/001/2025</v>
      </c>
      <c r="B1257" s="4" t="str">
        <f>"New Work: LEGO Serious Play als innovative Problemlösungs-, Kreativitäts- und Kommunikationsmethode - ein 3-D-Drucker für unsere Gedanken und Ideen"</f>
        <v>New Work: LEGO Serious Play als innovative Problemlösungs-, Kreativitäts- und Kommunikationsmethode - ein 3-D-Drucker für unsere Gedanken und Ideen</v>
      </c>
      <c r="C1257" s="5">
        <v>45735</v>
      </c>
      <c r="D1257" s="5">
        <v>45735</v>
      </c>
      <c r="E1257" s="4" t="str">
        <f>"1 Tag"</f>
        <v>1 Tag</v>
      </c>
      <c r="F1257" s="6">
        <v>170</v>
      </c>
      <c r="G1257" s="4" t="str">
        <f t="shared" si="108"/>
        <v>Fachübergreifendes Seminar</v>
      </c>
      <c r="H1257" s="4" t="s">
        <v>11</v>
      </c>
    </row>
    <row r="1258" spans="1:8" x14ac:dyDescent="0.2">
      <c r="A1258" s="4" t="str">
        <f>"31.170/001/2025"</f>
        <v>31.170/001/2025</v>
      </c>
      <c r="B1258" s="4" t="str">
        <f>"New Work: Ein Koffer voller Workhacks - kreative Lösungen aus dem agilen Arbeiten für Erfolge in der Digitalisierung - online"</f>
        <v>New Work: Ein Koffer voller Workhacks - kreative Lösungen aus dem agilen Arbeiten für Erfolge in der Digitalisierung - online</v>
      </c>
      <c r="C1258" s="5">
        <v>45712</v>
      </c>
      <c r="D1258" s="5">
        <v>45713</v>
      </c>
      <c r="E1258" s="4" t="str">
        <f t="shared" ref="E1258:E1263" si="109">"2 Tage"</f>
        <v>2 Tage</v>
      </c>
      <c r="F1258" s="6">
        <v>330</v>
      </c>
      <c r="G1258" s="4" t="str">
        <f t="shared" si="108"/>
        <v>Fachübergreifendes Seminar</v>
      </c>
      <c r="H1258" s="4" t="s">
        <v>11</v>
      </c>
    </row>
    <row r="1259" spans="1:8" x14ac:dyDescent="0.2">
      <c r="A1259" s="4" t="str">
        <f>"31.210/001/2025"</f>
        <v>31.210/001/2025</v>
      </c>
      <c r="B1259" s="4" t="str">
        <f>"Organisationsarbeit - Einführung Kompakt- online"</f>
        <v>Organisationsarbeit - Einführung Kompakt- online</v>
      </c>
      <c r="C1259" s="5">
        <v>45699</v>
      </c>
      <c r="D1259" s="5">
        <v>45700</v>
      </c>
      <c r="E1259" s="4" t="str">
        <f t="shared" si="109"/>
        <v>2 Tage</v>
      </c>
      <c r="F1259" s="6">
        <v>490</v>
      </c>
      <c r="G1259" s="4" t="str">
        <f t="shared" si="108"/>
        <v>Fachübergreifendes Seminar</v>
      </c>
      <c r="H1259" s="4" t="s">
        <v>11</v>
      </c>
    </row>
    <row r="1260" spans="1:8" x14ac:dyDescent="0.2">
      <c r="A1260" s="4" t="str">
        <f>"31.230/001/2025"</f>
        <v>31.230/001/2025</v>
      </c>
      <c r="B1260" s="4" t="str">
        <f>"Verwaltung 4.0 - den digitalen Wandel gestalten - online"</f>
        <v>Verwaltung 4.0 - den digitalen Wandel gestalten - online</v>
      </c>
      <c r="C1260" s="5">
        <v>45831</v>
      </c>
      <c r="D1260" s="5">
        <v>45832</v>
      </c>
      <c r="E1260" s="4" t="str">
        <f t="shared" si="109"/>
        <v>2 Tage</v>
      </c>
      <c r="F1260" s="6">
        <v>330</v>
      </c>
      <c r="G1260" s="4" t="str">
        <f t="shared" si="108"/>
        <v>Fachübergreifendes Seminar</v>
      </c>
      <c r="H1260" s="4" t="s">
        <v>11</v>
      </c>
    </row>
    <row r="1261" spans="1:8" x14ac:dyDescent="0.2">
      <c r="A1261" s="4" t="str">
        <f>"31.245/001/2025"</f>
        <v>31.245/001/2025</v>
      </c>
      <c r="B1261" s="4" t="str">
        <f>"Changemanagement für Führungskräfte - online"</f>
        <v>Changemanagement für Führungskräfte - online</v>
      </c>
      <c r="C1261" s="5">
        <v>45967</v>
      </c>
      <c r="D1261" s="5">
        <v>45968</v>
      </c>
      <c r="E1261" s="4" t="str">
        <f t="shared" si="109"/>
        <v>2 Tage</v>
      </c>
      <c r="F1261" s="6">
        <v>330</v>
      </c>
      <c r="G1261" s="4" t="str">
        <f t="shared" si="108"/>
        <v>Fachübergreifendes Seminar</v>
      </c>
      <c r="H1261" s="4" t="s">
        <v>11</v>
      </c>
    </row>
    <row r="1262" spans="1:8" x14ac:dyDescent="0.2">
      <c r="A1262" s="4" t="str">
        <f>"31.250/001/2025"</f>
        <v>31.250/001/2025</v>
      </c>
      <c r="B1262" s="4" t="str">
        <f>"Agile Leadership - online"</f>
        <v>Agile Leadership - online</v>
      </c>
      <c r="C1262" s="5">
        <v>45964</v>
      </c>
      <c r="D1262" s="5">
        <v>45965</v>
      </c>
      <c r="E1262" s="4" t="str">
        <f t="shared" si="109"/>
        <v>2 Tage</v>
      </c>
      <c r="F1262" s="6">
        <v>330</v>
      </c>
      <c r="G1262" s="4" t="str">
        <f t="shared" si="108"/>
        <v>Fachübergreifendes Seminar</v>
      </c>
      <c r="H1262" s="4" t="s">
        <v>11</v>
      </c>
    </row>
    <row r="1263" spans="1:8" x14ac:dyDescent="0.2">
      <c r="A1263" s="4" t="str">
        <f>"31.260/001/2025"</f>
        <v>31.260/001/2025</v>
      </c>
      <c r="B1263" s="4" t="str">
        <f>"KI-Einsatz in Behörden - Wo stehen wir? - online"</f>
        <v>KI-Einsatz in Behörden - Wo stehen wir? - online</v>
      </c>
      <c r="C1263" s="5">
        <v>45939</v>
      </c>
      <c r="D1263" s="5">
        <v>45940</v>
      </c>
      <c r="E1263" s="4" t="str">
        <f t="shared" si="109"/>
        <v>2 Tage</v>
      </c>
      <c r="F1263" s="6">
        <v>210</v>
      </c>
      <c r="G1263" s="4" t="str">
        <f t="shared" si="108"/>
        <v>Fachübergreifendes Seminar</v>
      </c>
      <c r="H1263" s="4" t="s">
        <v>11</v>
      </c>
    </row>
    <row r="1264" spans="1:8" x14ac:dyDescent="0.2">
      <c r="A1264" s="4" t="str">
        <f>"31.325/001/2025"</f>
        <v>31.325/001/2025</v>
      </c>
      <c r="B1264" s="4" t="str">
        <f>"Hybrides Projektmanagement - online"</f>
        <v>Hybrides Projektmanagement - online</v>
      </c>
      <c r="C1264" s="5">
        <v>45764</v>
      </c>
      <c r="D1264" s="5">
        <v>45764</v>
      </c>
      <c r="E1264" s="4" t="str">
        <f>"1 Tag"</f>
        <v>1 Tag</v>
      </c>
      <c r="F1264" s="6">
        <v>170</v>
      </c>
      <c r="G1264" s="4" t="str">
        <f t="shared" si="108"/>
        <v>Fachübergreifendes Seminar</v>
      </c>
      <c r="H1264" s="4" t="s">
        <v>11</v>
      </c>
    </row>
    <row r="1265" spans="1:8" x14ac:dyDescent="0.2">
      <c r="A1265" s="4" t="str">
        <f>"31.330/001/2025"</f>
        <v>31.330/001/2025</v>
      </c>
      <c r="B1265" s="4" t="str">
        <f>"Projektmanagement nach der PRINCE2-Methode  - Grundlagen - online"</f>
        <v>Projektmanagement nach der PRINCE2-Methode  - Grundlagen - online</v>
      </c>
      <c r="C1265" s="5">
        <v>45706</v>
      </c>
      <c r="D1265" s="5">
        <v>45707</v>
      </c>
      <c r="E1265" s="4" t="str">
        <f>"2 Tage"</f>
        <v>2 Tage</v>
      </c>
      <c r="F1265" s="6">
        <v>330</v>
      </c>
      <c r="G1265" s="4" t="str">
        <f t="shared" si="108"/>
        <v>Fachübergreifendes Seminar</v>
      </c>
      <c r="H1265" s="4" t="s">
        <v>11</v>
      </c>
    </row>
    <row r="1266" spans="1:8" x14ac:dyDescent="0.2">
      <c r="A1266" s="4" t="str">
        <f>"31.335/001/2025"</f>
        <v>31.335/001/2025</v>
      </c>
      <c r="B1266" s="4" t="str">
        <f>"Workshop: Projekte mit PRINCE2 agil steuern - online"</f>
        <v>Workshop: Projekte mit PRINCE2 agil steuern - online</v>
      </c>
      <c r="C1266" s="5">
        <v>45995</v>
      </c>
      <c r="D1266" s="5">
        <v>45996</v>
      </c>
      <c r="E1266" s="4" t="str">
        <f>"2 Tage"</f>
        <v>2 Tage</v>
      </c>
      <c r="F1266" s="6">
        <v>330</v>
      </c>
      <c r="G1266" s="4" t="str">
        <f t="shared" si="108"/>
        <v>Fachübergreifendes Seminar</v>
      </c>
      <c r="H1266" s="4" t="s">
        <v>11</v>
      </c>
    </row>
    <row r="1267" spans="1:8" x14ac:dyDescent="0.2">
      <c r="A1267" s="4" t="str">
        <f>"31.410/001/2025"</f>
        <v>31.410/001/2025</v>
      </c>
      <c r="B1267" s="4" t="str">
        <f>"Geschäftsprozessanalyse und -optimierung - online"</f>
        <v>Geschäftsprozessanalyse und -optimierung - online</v>
      </c>
      <c r="C1267" s="5">
        <v>45698</v>
      </c>
      <c r="D1267" s="5">
        <v>45713</v>
      </c>
      <c r="E1267" s="4" t="str">
        <f>"2x2 Tage"</f>
        <v>2x2 Tage</v>
      </c>
      <c r="F1267" s="6">
        <v>660</v>
      </c>
      <c r="G1267" s="4"/>
      <c r="H1267" s="4" t="s">
        <v>11</v>
      </c>
    </row>
    <row r="1268" spans="1:8" x14ac:dyDescent="0.2">
      <c r="A1268" s="4" t="str">
        <f>"31.410/001 a/2025"</f>
        <v>31.410/001 a/2025</v>
      </c>
      <c r="B1268" s="4" t="str">
        <f>"Geschäftsprozessanalyse und -optimierung - online"</f>
        <v>Geschäftsprozessanalyse und -optimierung - online</v>
      </c>
      <c r="C1268" s="5">
        <v>45698</v>
      </c>
      <c r="D1268" s="5">
        <v>45699</v>
      </c>
      <c r="E1268" s="4"/>
      <c r="F1268" s="6" t="s">
        <v>11</v>
      </c>
      <c r="G1268" s="4" t="str">
        <f>"Fachübergreifendes Seminar"</f>
        <v>Fachübergreifendes Seminar</v>
      </c>
      <c r="H1268" s="4" t="s">
        <v>11</v>
      </c>
    </row>
    <row r="1269" spans="1:8" x14ac:dyDescent="0.2">
      <c r="A1269" s="4" t="str">
        <f>"31.410/001 b/2025"</f>
        <v>31.410/001 b/2025</v>
      </c>
      <c r="B1269" s="4" t="str">
        <f>"Geschäftsprozessanalyse und -optimierung- online "</f>
        <v xml:space="preserve">Geschäftsprozessanalyse und -optimierung- online </v>
      </c>
      <c r="C1269" s="5">
        <v>45712</v>
      </c>
      <c r="D1269" s="5">
        <v>45713</v>
      </c>
      <c r="E1269" s="4"/>
      <c r="F1269" s="6" t="s">
        <v>11</v>
      </c>
      <c r="G1269" s="4" t="str">
        <f>"Fachübergreifendes Seminar"</f>
        <v>Fachübergreifendes Seminar</v>
      </c>
      <c r="H1269" s="4" t="s">
        <v>11</v>
      </c>
    </row>
    <row r="1270" spans="1:8" x14ac:dyDescent="0.2">
      <c r="A1270" s="4" t="str">
        <f>"31.411/001/2025"</f>
        <v>31.411/001/2025</v>
      </c>
      <c r="B1270" s="4" t="str">
        <f>"Geschäftsprozessmanagement - online"</f>
        <v>Geschäftsprozessmanagement - online</v>
      </c>
      <c r="C1270" s="5">
        <v>45818</v>
      </c>
      <c r="D1270" s="5">
        <v>45819</v>
      </c>
      <c r="E1270" s="4" t="str">
        <f>"2 Tage"</f>
        <v>2 Tage</v>
      </c>
      <c r="F1270" s="6">
        <v>330</v>
      </c>
      <c r="G1270" s="4" t="str">
        <f>"Fachübergreifendes Seminar"</f>
        <v>Fachübergreifendes Seminar</v>
      </c>
      <c r="H1270" s="4" t="s">
        <v>11</v>
      </c>
    </row>
    <row r="1271" spans="1:8" x14ac:dyDescent="0.2">
      <c r="A1271" s="4" t="str">
        <f>"31.411/002/2025"</f>
        <v>31.411/002/2025</v>
      </c>
      <c r="B1271" s="4" t="str">
        <f>"Geschäftsprozessmanagement - online"</f>
        <v>Geschäftsprozessmanagement - online</v>
      </c>
      <c r="C1271" s="5">
        <v>45929</v>
      </c>
      <c r="D1271" s="5">
        <v>45930</v>
      </c>
      <c r="E1271" s="4" t="str">
        <f>"2 Tage"</f>
        <v>2 Tage</v>
      </c>
      <c r="F1271" s="6">
        <v>330</v>
      </c>
      <c r="G1271" s="4" t="str">
        <f>"Fachübergreifendes Seminar"</f>
        <v>Fachübergreifendes Seminar</v>
      </c>
      <c r="H1271" s="4" t="s">
        <v>11</v>
      </c>
    </row>
    <row r="1272" spans="1:8" x14ac:dyDescent="0.2">
      <c r="A1272" s="4" t="str">
        <f>"31.450/001/2025"</f>
        <v>31.450/001/2025</v>
      </c>
      <c r="B1272" s="4" t="str">
        <f>"Agiles Qualitätsmanagement-  neue Methoden im Überblick - online"</f>
        <v>Agiles Qualitätsmanagement-  neue Methoden im Überblick - online</v>
      </c>
      <c r="C1272" s="5">
        <v>45687</v>
      </c>
      <c r="D1272" s="5">
        <v>45687</v>
      </c>
      <c r="E1272" s="4" t="str">
        <f>"1 Tag"</f>
        <v>1 Tag</v>
      </c>
      <c r="F1272" s="6">
        <v>170</v>
      </c>
      <c r="G1272" s="4" t="str">
        <f>"Fachübergreifendes Seminar"</f>
        <v>Fachübergreifendes Seminar</v>
      </c>
      <c r="H1272" s="4" t="s">
        <v>11</v>
      </c>
    </row>
    <row r="1273" spans="1:8" x14ac:dyDescent="0.2">
      <c r="A1273" s="4" t="str">
        <f>"31.601/001/2025"</f>
        <v>31.601/001/2025</v>
      </c>
      <c r="B1273" s="4" t="str">
        <f>"Brainfood 2.0: Vielfältige Verwaltung - Potenziale für Teams und Zusammenarbeit - online"</f>
        <v>Brainfood 2.0: Vielfältige Verwaltung - Potenziale für Teams und Zusammenarbeit - online</v>
      </c>
      <c r="C1273" s="5">
        <v>45709</v>
      </c>
      <c r="D1273" s="5">
        <v>45709</v>
      </c>
      <c r="E1273" s="4" t="str">
        <f>"1,5 Stunden"</f>
        <v>1,5 Stunden</v>
      </c>
      <c r="F1273" s="6">
        <v>60</v>
      </c>
      <c r="G1273" s="4" t="str">
        <f t="shared" ref="G1273:G1276" si="110">"Fachübergreifendes Seminar"</f>
        <v>Fachübergreifendes Seminar</v>
      </c>
      <c r="H1273" s="4" t="s">
        <v>11</v>
      </c>
    </row>
    <row r="1274" spans="1:8" x14ac:dyDescent="0.2">
      <c r="A1274" s="4" t="str">
        <f>"31.603/001/2025"</f>
        <v>31.603/001/2025</v>
      </c>
      <c r="B1274" s="4" t="str">
        <f>"Brainfood 2.0 Low-Code in der Verwaltung  - Online"</f>
        <v>Brainfood 2.0 Low-Code in der Verwaltung  - Online</v>
      </c>
      <c r="C1274" s="5">
        <v>45793</v>
      </c>
      <c r="D1274" s="5">
        <v>45793</v>
      </c>
      <c r="E1274" s="4" t="str">
        <f>"1,5 Stunden"</f>
        <v>1,5 Stunden</v>
      </c>
      <c r="F1274" s="6">
        <v>60</v>
      </c>
      <c r="G1274" s="4" t="str">
        <f t="shared" si="110"/>
        <v>Fachübergreifendes Seminar</v>
      </c>
      <c r="H1274" s="4" t="s">
        <v>11</v>
      </c>
    </row>
    <row r="1275" spans="1:8" x14ac:dyDescent="0.2">
      <c r="A1275" s="4" t="str">
        <f>"31.605/001/2025"</f>
        <v>31.605/001/2025</v>
      </c>
      <c r="B1275" s="4" t="str">
        <f>"Brainfood 2.0: ChatGPT und Co. - Generative KI als Supercharger der Verwaltungsautomatisierung?"</f>
        <v>Brainfood 2.0: ChatGPT und Co. - Generative KI als Supercharger der Verwaltungsautomatisierung?</v>
      </c>
      <c r="C1275" s="5">
        <v>45908</v>
      </c>
      <c r="D1275" s="5">
        <v>45908</v>
      </c>
      <c r="E1275" s="4" t="str">
        <f>"0,5 Tage"</f>
        <v>0,5 Tage</v>
      </c>
      <c r="F1275" s="6">
        <v>60</v>
      </c>
      <c r="G1275" s="4" t="str">
        <f t="shared" si="110"/>
        <v>Fachübergreifendes Seminar</v>
      </c>
      <c r="H1275" s="4" t="s">
        <v>11</v>
      </c>
    </row>
    <row r="1276" spans="1:8" x14ac:dyDescent="0.2">
      <c r="A1276" s="4" t="str">
        <f>"31.606/001/2025"</f>
        <v>31.606/001/2025</v>
      </c>
      <c r="B1276" s="7" t="str">
        <f>"Brainfood 2.0: Nachhaltige Verwaltung - online"</f>
        <v>Brainfood 2.0: Nachhaltige Verwaltung - online</v>
      </c>
      <c r="C1276" s="8">
        <v>45932</v>
      </c>
      <c r="D1276" s="8">
        <v>45932</v>
      </c>
      <c r="E1276" s="7" t="str">
        <f>"1,5 Stunden"</f>
        <v>1,5 Stunden</v>
      </c>
      <c r="F1276" s="9">
        <v>60</v>
      </c>
      <c r="G1276" s="7" t="str">
        <f t="shared" si="110"/>
        <v>Fachübergreifendes Seminar</v>
      </c>
      <c r="H1276" s="7" t="s">
        <v>11</v>
      </c>
    </row>
  </sheetData>
  <mergeCells count="7">
    <mergeCell ref="A1:A6"/>
    <mergeCell ref="B1:F1"/>
    <mergeCell ref="G1:H6"/>
    <mergeCell ref="B2:F2"/>
    <mergeCell ref="B3:F3"/>
    <mergeCell ref="B4:F4"/>
    <mergeCell ref="B5:F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Neufassung</vt:lpstr>
      <vt:lpstr>Tabelle JP2025</vt:lpstr>
    </vt:vector>
  </TitlesOfParts>
  <Company>RR Software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Würfel, Janine (FAH)</cp:lastModifiedBy>
  <cp:lastPrinted>2013-07-19T06:57:44Z</cp:lastPrinted>
  <dcterms:created xsi:type="dcterms:W3CDTF">2006-01-19T09:16:31Z</dcterms:created>
  <dcterms:modified xsi:type="dcterms:W3CDTF">2024-09-16T11:11:22Z</dcterms:modified>
</cp:coreProperties>
</file>